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3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'xehet1'!$A$3:$R$23</definedName>
    <definedName name="_xlnm.Print_Area" localSheetId="2">'xehet2'!$A$1:$R$27</definedName>
    <definedName name="_xlnm.Print_Area" localSheetId="3">'xehet32'!$A$1:$P$1</definedName>
  </definedNames>
  <calcPr fullCalcOnLoad="1"/>
</workbook>
</file>

<file path=xl/sharedStrings.xml><?xml version="1.0" encoding="utf-8"?>
<sst xmlns="http://schemas.openxmlformats.org/spreadsheetml/2006/main" count="655" uniqueCount="590">
  <si>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</si>
  <si>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</si>
  <si>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</si>
  <si>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</si>
  <si>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</si>
  <si>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</si>
  <si>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</si>
  <si>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</si>
  <si>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</si>
  <si>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</si>
  <si>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</si>
  <si>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</si>
  <si>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</si>
  <si>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</si>
  <si>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</si>
  <si>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</si>
  <si>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</si>
  <si>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</si>
  <si>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</si>
  <si>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</si>
  <si>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</si>
  <si>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</si>
  <si>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</si>
  <si>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</si>
  <si>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</si>
  <si>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</si>
  <si>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</si>
  <si>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</si>
  <si>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</si>
  <si>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</si>
  <si>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</si>
  <si>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</si>
  <si>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</si>
  <si>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</si>
  <si>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</si>
  <si>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</si>
  <si>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</si>
  <si>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</si>
  <si>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</si>
  <si>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</si>
  <si>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</si>
  <si>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</si>
  <si>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</si>
  <si>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</si>
  <si>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</si>
  <si>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</si>
  <si>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</si>
  <si>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</si>
  <si>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</si>
  <si>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</si>
  <si>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</si>
  <si>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</si>
  <si>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</si>
  <si>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</si>
  <si>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</si>
  <si>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</si>
  <si>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</si>
  <si>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</si>
  <si>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</si>
  <si>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</si>
  <si>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</si>
  <si>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</si>
  <si>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</si>
  <si>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</si>
  <si>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</si>
  <si>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</si>
  <si>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</si>
  <si>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</si>
  <si>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</si>
  <si>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</si>
  <si>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</si>
  <si>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</si>
  <si>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</si>
  <si>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</si>
  <si>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</si>
  <si>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</si>
  <si>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</si>
  <si>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</si>
  <si>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</si>
  <si>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</si>
  <si>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</si>
  <si>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</si>
  <si>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</si>
  <si>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</si>
  <si>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</si>
  <si>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</si>
  <si>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</si>
  <si>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</si>
  <si>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</si>
  <si>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</si>
  <si>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</si>
  <si>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</si>
  <si>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</si>
  <si>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</si>
  <si>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</si>
  <si>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</si>
  <si>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</si>
  <si>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04/2018</t>
  </si>
  <si>
    <t>12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</si>
  <si>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</si>
  <si>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</si>
  <si>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</si>
  <si>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</si>
  <si>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</si>
  <si>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</si>
  <si>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</si>
  <si>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</si>
  <si>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</si>
  <si>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</si>
  <si>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</si>
  <si>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02/2018</t>
  </si>
  <si>
    <t>OARSOALDEA</t>
  </si>
  <si>
    <t>FCC1800660</t>
  </si>
  <si>
    <t>FCC1800700</t>
  </si>
  <si>
    <t>FCC1800701</t>
  </si>
  <si>
    <t>FCC1800705</t>
  </si>
  <si>
    <t>FCC1800718</t>
  </si>
  <si>
    <t>FCC1800719</t>
  </si>
  <si>
    <t>FCC1800720</t>
  </si>
  <si>
    <t>FCC1800784</t>
  </si>
  <si>
    <t>FCC1800785</t>
  </si>
  <si>
    <t>FCC1800805</t>
  </si>
  <si>
    <t>FCC1800806</t>
  </si>
  <si>
    <t>FCC1800807</t>
  </si>
  <si>
    <t>FCC1800820</t>
  </si>
  <si>
    <t>FCC1800821</t>
  </si>
  <si>
    <t>FCC1800822</t>
  </si>
  <si>
    <t>FCC1800826</t>
  </si>
  <si>
    <t>FCC1800827</t>
  </si>
  <si>
    <t>FCC1800828</t>
  </si>
  <si>
    <t>FCC1800829</t>
  </si>
  <si>
    <t>FCC1800834</t>
  </si>
  <si>
    <t>FCC1800835</t>
  </si>
  <si>
    <t>FCC1800836</t>
  </si>
  <si>
    <t>FCC1800837</t>
  </si>
  <si>
    <t>FCC1800838</t>
  </si>
  <si>
    <t>FCC1800839</t>
  </si>
  <si>
    <t>FCC1800840</t>
  </si>
  <si>
    <t>FCC1800841</t>
  </si>
  <si>
    <t>FCC1800842</t>
  </si>
  <si>
    <t>FCC1800843</t>
  </si>
  <si>
    <t>FCC1800844</t>
  </si>
  <si>
    <t>FCC1800845</t>
  </si>
  <si>
    <t>FCC1800846</t>
  </si>
  <si>
    <t>FCC1800847</t>
  </si>
  <si>
    <t>FCC1800853</t>
  </si>
  <si>
    <t>FCC1800854</t>
  </si>
  <si>
    <t>FCC1800855</t>
  </si>
  <si>
    <t>FCC1800856</t>
  </si>
  <si>
    <t>FCC1800857</t>
  </si>
  <si>
    <t>FCC1800858</t>
  </si>
  <si>
    <t>FCC1800859</t>
  </si>
  <si>
    <t>FCC1800861</t>
  </si>
  <si>
    <t>FCC1800862</t>
  </si>
  <si>
    <t>FCC1800863</t>
  </si>
  <si>
    <t>FCC1800864</t>
  </si>
  <si>
    <t>FCC1800865</t>
  </si>
  <si>
    <t>FCC1800866</t>
  </si>
  <si>
    <t>FCC1800867</t>
  </si>
  <si>
    <t>FCC1800868</t>
  </si>
  <si>
    <t>FCC1800869</t>
  </si>
  <si>
    <t>FCC1800870</t>
  </si>
  <si>
    <t>FCC1800871</t>
  </si>
  <si>
    <t>FCC1800872</t>
  </si>
  <si>
    <t>FCC1800873</t>
  </si>
  <si>
    <t>FCC1800874</t>
  </si>
  <si>
    <t>FCC1800875</t>
  </si>
  <si>
    <t>FCC1800877</t>
  </si>
  <si>
    <t>FCC1800878</t>
  </si>
  <si>
    <t>FCC1800883</t>
  </si>
  <si>
    <t>FCC1800884</t>
  </si>
  <si>
    <t>FCC1800885</t>
  </si>
  <si>
    <t>FCC1800886</t>
  </si>
  <si>
    <t>FCC1800887</t>
  </si>
  <si>
    <t>FCC1800888</t>
  </si>
  <si>
    <t>FCC1800889</t>
  </si>
  <si>
    <t>FCC1800890</t>
  </si>
  <si>
    <t>FCC1800891</t>
  </si>
  <si>
    <t>FCC1800892</t>
  </si>
  <si>
    <t>FCC1800893</t>
  </si>
  <si>
    <t>FCC1800894</t>
  </si>
  <si>
    <t>FCC1800895</t>
  </si>
  <si>
    <t>FCC1800896</t>
  </si>
  <si>
    <t>FCC1800897</t>
  </si>
  <si>
    <t>FCC1800898</t>
  </si>
  <si>
    <t>FCC1800899</t>
  </si>
  <si>
    <t>FCC1800900</t>
  </si>
  <si>
    <t>FCC1800901</t>
  </si>
  <si>
    <t>FCC1800902</t>
  </si>
  <si>
    <t>FCC1800903</t>
  </si>
  <si>
    <t>FCC1800904</t>
  </si>
  <si>
    <t>FCC1800905</t>
  </si>
  <si>
    <t>FCC1800909</t>
  </si>
  <si>
    <t>FCC1800910</t>
  </si>
  <si>
    <t>FCC1800912</t>
  </si>
  <si>
    <t>FCC1800913</t>
  </si>
  <si>
    <t>FCC1800914</t>
  </si>
  <si>
    <t>FCC1800915</t>
  </si>
  <si>
    <t>FCC1800916</t>
  </si>
  <si>
    <t>FCC1800917</t>
  </si>
  <si>
    <t>FCC1800922</t>
  </si>
  <si>
    <t>FCC1800923</t>
  </si>
  <si>
    <t>FCC1800924</t>
  </si>
  <si>
    <t>FCC1800925</t>
  </si>
  <si>
    <t>FCC1800926</t>
  </si>
  <si>
    <t>FCC1800927</t>
  </si>
  <si>
    <t>FCC1800928</t>
  </si>
  <si>
    <t>FCC1800929</t>
  </si>
  <si>
    <t>FCC1800930</t>
  </si>
  <si>
    <t>FCC1800932</t>
  </si>
  <si>
    <t>FCC1800933</t>
  </si>
  <si>
    <t>FCC1800934</t>
  </si>
  <si>
    <t>FCC1800935</t>
  </si>
  <si>
    <t>FCC1800936</t>
  </si>
  <si>
    <t>FCC1800937</t>
  </si>
  <si>
    <t>FCC1800938</t>
  </si>
  <si>
    <t>FCC1800939</t>
  </si>
  <si>
    <t>FCC1800940</t>
  </si>
  <si>
    <t>FCC1800941</t>
  </si>
  <si>
    <t>FCC1800944</t>
  </si>
  <si>
    <t>FCC1800945</t>
  </si>
  <si>
    <t>FCC1800946</t>
  </si>
  <si>
    <t>FCC1800947</t>
  </si>
  <si>
    <t>FCC1800948</t>
  </si>
  <si>
    <t>FCC1800949</t>
  </si>
  <si>
    <t>FCC1800950</t>
  </si>
  <si>
    <t>FCC1800951</t>
  </si>
  <si>
    <t>FCC1800952</t>
  </si>
  <si>
    <t>FCC1800954</t>
  </si>
  <si>
    <t>FCC1800955</t>
  </si>
  <si>
    <t>FCC1800956</t>
  </si>
  <si>
    <t>FCC1800957</t>
  </si>
  <si>
    <t>FCC1800958</t>
  </si>
  <si>
    <t>FCC1800959</t>
  </si>
  <si>
    <t>FCC1800960</t>
  </si>
  <si>
    <t>FCC1800961</t>
  </si>
  <si>
    <t>FCC1800962</t>
  </si>
  <si>
    <t>FCC1800963</t>
  </si>
  <si>
    <t>FCC1800964</t>
  </si>
  <si>
    <t>FCC1800965</t>
  </si>
  <si>
    <t>FCC1800966</t>
  </si>
  <si>
    <t>FCC1800967</t>
  </si>
  <si>
    <t>FCC1800968</t>
  </si>
  <si>
    <t>FCC1800969</t>
  </si>
  <si>
    <t>FCC1800970</t>
  </si>
  <si>
    <t>FCC1800971</t>
  </si>
  <si>
    <t>FCC1800972</t>
  </si>
  <si>
    <t>FCC1800973</t>
  </si>
  <si>
    <t>FCC1800974</t>
  </si>
  <si>
    <t>FCC1800975</t>
  </si>
  <si>
    <t>FCC1800976</t>
  </si>
  <si>
    <t>FCC1800977</t>
  </si>
  <si>
    <t>FCC1800978</t>
  </si>
  <si>
    <t>FCC1800979</t>
  </si>
  <si>
    <t>FCC1800980</t>
  </si>
  <si>
    <t>FCC1800981</t>
  </si>
  <si>
    <t>FCC1800982</t>
  </si>
  <si>
    <t>FCC1800983</t>
  </si>
  <si>
    <t>FCC1800984</t>
  </si>
  <si>
    <t>FCC1800985</t>
  </si>
  <si>
    <t>FCC1800986</t>
  </si>
  <si>
    <t>FCC1800987</t>
  </si>
  <si>
    <t>FCC1800988</t>
  </si>
  <si>
    <t>FCC1800989</t>
  </si>
  <si>
    <t>FCC1800990</t>
  </si>
  <si>
    <t>FCC1800991</t>
  </si>
  <si>
    <t>FCC1800992</t>
  </si>
  <si>
    <t>FCC1800993</t>
  </si>
  <si>
    <t>FCC1800996</t>
  </si>
  <si>
    <t>FCC1800999</t>
  </si>
  <si>
    <t>FCC1801000</t>
  </si>
  <si>
    <t>FCC1801001</t>
  </si>
  <si>
    <t>FCC1801002</t>
  </si>
  <si>
    <t>FCC1801004</t>
  </si>
  <si>
    <t>FCC1801005</t>
  </si>
  <si>
    <t>FCC1801006</t>
  </si>
  <si>
    <t>FCC1801007</t>
  </si>
  <si>
    <t>FCC1801009</t>
  </si>
  <si>
    <t>FCC1801010</t>
  </si>
  <si>
    <t>FCC1801011</t>
  </si>
  <si>
    <t>FCC1801012</t>
  </si>
  <si>
    <t>FCC1801013</t>
  </si>
  <si>
    <t>FCC1801014</t>
  </si>
  <si>
    <t>FCC1801015</t>
  </si>
  <si>
    <t>FCC1801016</t>
  </si>
  <si>
    <t>FCC1801017</t>
  </si>
  <si>
    <t>FCC1801018</t>
  </si>
  <si>
    <t>FCC1801019</t>
  </si>
  <si>
    <t>FCC1801020</t>
  </si>
  <si>
    <t>FCC1801021</t>
  </si>
  <si>
    <t>FCC1801022</t>
  </si>
  <si>
    <t>FCC1801026</t>
  </si>
  <si>
    <t>FCC1801027</t>
  </si>
  <si>
    <t>FCC1801028</t>
  </si>
  <si>
    <t>FCC1801029</t>
  </si>
  <si>
    <t>FCC1801030</t>
  </si>
  <si>
    <t>FCC1801031</t>
  </si>
  <si>
    <t>FCC1801033</t>
  </si>
  <si>
    <t>FCC1801034</t>
  </si>
  <si>
    <t>FCC1801035</t>
  </si>
  <si>
    <t>FCC1801036</t>
  </si>
  <si>
    <t>FCC1801039</t>
  </si>
  <si>
    <t>FCC1801040</t>
  </si>
  <si>
    <t>FCC1801042</t>
  </si>
  <si>
    <t>FCC1801043</t>
  </si>
  <si>
    <t>FCC1801044</t>
  </si>
  <si>
    <t>FCC1801045</t>
  </si>
  <si>
    <t>FCC1801046</t>
  </si>
  <si>
    <t>FCC1801047</t>
  </si>
  <si>
    <t>FCC1801049</t>
  </si>
  <si>
    <t>FCC1801051</t>
  </si>
  <si>
    <t>FCC1801052</t>
  </si>
  <si>
    <t>FCC1801053</t>
  </si>
  <si>
    <t>FCC1801054</t>
  </si>
  <si>
    <t>FCC1801055</t>
  </si>
  <si>
    <t>FCC1801056</t>
  </si>
  <si>
    <t>FCC1801057</t>
  </si>
  <si>
    <t>FCC1801058</t>
  </si>
  <si>
    <t>FCC1801062</t>
  </si>
  <si>
    <t>FCC1801065</t>
  </si>
  <si>
    <t>FCC1801066</t>
  </si>
  <si>
    <t>FCC1801068</t>
  </si>
  <si>
    <t>FCC1801069</t>
  </si>
  <si>
    <t>FCC1801070</t>
  </si>
  <si>
    <t>FCC1801071</t>
  </si>
  <si>
    <t>FCC1801072</t>
  </si>
  <si>
    <t>FCC1801073</t>
  </si>
  <si>
    <t>FCC1801075</t>
  </si>
  <si>
    <t>FCC1801078</t>
  </si>
  <si>
    <t>FCC1801080</t>
  </si>
  <si>
    <t>FCC1801081</t>
  </si>
  <si>
    <t>FCC1801082</t>
  </si>
  <si>
    <t>FCC1801084</t>
  </si>
  <si>
    <t>FCC1801085</t>
  </si>
  <si>
    <t>FCC1801086</t>
  </si>
  <si>
    <t>FCC1801087</t>
  </si>
  <si>
    <t>FCC1801088</t>
  </si>
  <si>
    <t>FCC1801089</t>
  </si>
  <si>
    <t>FCC1801090</t>
  </si>
  <si>
    <t>FCC1801091</t>
  </si>
  <si>
    <t>FCC1801092</t>
  </si>
  <si>
    <t>FCC1801093</t>
  </si>
  <si>
    <t>FCC1801094</t>
  </si>
  <si>
    <t>FCC1801095</t>
  </si>
  <si>
    <t>FCC1801096</t>
  </si>
  <si>
    <t>FCC1801099</t>
  </si>
  <si>
    <t>FCC1801100</t>
  </si>
  <si>
    <t>FCC1801102</t>
  </si>
  <si>
    <t>FCC1801103</t>
  </si>
  <si>
    <t>FCC1801115</t>
  </si>
  <si>
    <t>FCC1801116</t>
  </si>
  <si>
    <t>FCC1801119</t>
  </si>
  <si>
    <t>FCC1801122</t>
  </si>
  <si>
    <t>7/2018</t>
  </si>
  <si>
    <t>CS86288</t>
  </si>
  <si>
    <t>CS86289</t>
  </si>
  <si>
    <t>180199</t>
  </si>
  <si>
    <t>11/2018</t>
  </si>
  <si>
    <t>18/A-035</t>
  </si>
  <si>
    <t>B/1800</t>
  </si>
  <si>
    <t>B/1722</t>
  </si>
  <si>
    <t>060</t>
  </si>
  <si>
    <t>FLG A3D09455</t>
  </si>
  <si>
    <t>FLG A3D38998</t>
  </si>
  <si>
    <t>FLL A3D37664</t>
  </si>
  <si>
    <t>A/1803341</t>
  </si>
  <si>
    <t>S 92</t>
  </si>
  <si>
    <t>S 91</t>
  </si>
  <si>
    <t>1428/18</t>
  </si>
  <si>
    <t>1430/18</t>
  </si>
  <si>
    <t>1431/18</t>
  </si>
  <si>
    <t>1429/18</t>
  </si>
  <si>
    <t>00 00000122</t>
  </si>
  <si>
    <t>00 00000101</t>
  </si>
  <si>
    <t>1807C0460504</t>
  </si>
  <si>
    <t>38</t>
  </si>
  <si>
    <t>234/18</t>
  </si>
  <si>
    <t>181117</t>
  </si>
  <si>
    <t>00002948</t>
  </si>
  <si>
    <t>00 00000121</t>
  </si>
  <si>
    <t>00 00000102</t>
  </si>
  <si>
    <t>00002917</t>
  </si>
  <si>
    <t>11</t>
  </si>
  <si>
    <t>8/2018</t>
  </si>
  <si>
    <t>FSCR18-00290</t>
  </si>
  <si>
    <t>G-14448</t>
  </si>
  <si>
    <t>00 00000123</t>
  </si>
  <si>
    <t>SI2018012309</t>
  </si>
  <si>
    <t>877/2018</t>
  </si>
  <si>
    <t>FSBR18-00591</t>
  </si>
  <si>
    <t>31-2018</t>
  </si>
  <si>
    <t>SI2018011347</t>
  </si>
  <si>
    <t>09180730030006838</t>
  </si>
  <si>
    <t>21180730030019625</t>
  </si>
  <si>
    <t>21180730030019624</t>
  </si>
  <si>
    <t>21180730030012501</t>
  </si>
  <si>
    <t>21180730030006888</t>
  </si>
  <si>
    <t>21180730030019626</t>
  </si>
  <si>
    <t>FSBR18-00635</t>
  </si>
  <si>
    <t>FSCR18-00288</t>
  </si>
  <si>
    <t>AS18053</t>
  </si>
  <si>
    <t>1808C0476119</t>
  </si>
  <si>
    <t>21180730030000035</t>
  </si>
  <si>
    <t>18/027</t>
  </si>
  <si>
    <t>FSBR18-00558</t>
  </si>
  <si>
    <t>FSBR18-00557</t>
  </si>
  <si>
    <t>20180011</t>
  </si>
  <si>
    <t>20180545</t>
  </si>
  <si>
    <t>DL4376</t>
  </si>
  <si>
    <t>7250143681</t>
  </si>
  <si>
    <t>DK6398</t>
  </si>
  <si>
    <t>5176171</t>
  </si>
  <si>
    <t>5177292</t>
  </si>
  <si>
    <t>12-2018</t>
  </si>
  <si>
    <t>P-0000071</t>
  </si>
  <si>
    <t>FSCR18-00281</t>
  </si>
  <si>
    <t>FSBR18-00590</t>
  </si>
  <si>
    <t>ZFV18-00023</t>
  </si>
  <si>
    <t>G-14483</t>
  </si>
  <si>
    <t>2018/4722</t>
  </si>
  <si>
    <t>3805067</t>
  </si>
  <si>
    <t>4027659</t>
  </si>
  <si>
    <t>A-151</t>
  </si>
  <si>
    <t>21180730030014960</t>
  </si>
  <si>
    <t>21180730030000034</t>
  </si>
  <si>
    <t>21180730030000036</t>
  </si>
  <si>
    <t>18344</t>
  </si>
  <si>
    <t>18-S-2.379</t>
  </si>
  <si>
    <t>5195</t>
  </si>
  <si>
    <t>7250143682</t>
  </si>
  <si>
    <t>G-14480</t>
  </si>
  <si>
    <t>A 18.673</t>
  </si>
  <si>
    <t>E142</t>
  </si>
  <si>
    <t>EKAINA 2018</t>
  </si>
  <si>
    <t>48/2018</t>
  </si>
  <si>
    <t>1011/2018</t>
  </si>
  <si>
    <t>18370</t>
  </si>
  <si>
    <t>9/2018</t>
  </si>
  <si>
    <t>SI2018013794</t>
  </si>
  <si>
    <t>182.071</t>
  </si>
  <si>
    <t>DM3157</t>
  </si>
  <si>
    <t>DK0602</t>
  </si>
  <si>
    <t>21180830030017893</t>
  </si>
  <si>
    <t>09180830030006348</t>
  </si>
  <si>
    <t>211808300300118686</t>
  </si>
  <si>
    <t>21180830030006545</t>
  </si>
  <si>
    <t>21180830030017895</t>
  </si>
  <si>
    <t>21180830030017894</t>
  </si>
  <si>
    <t>A-156</t>
  </si>
  <si>
    <t>01845</t>
  </si>
  <si>
    <t>SURN/1800230</t>
  </si>
  <si>
    <t>0301809FV0036</t>
  </si>
  <si>
    <t>18/1052</t>
  </si>
  <si>
    <t>18/1051</t>
  </si>
  <si>
    <t>S 116</t>
  </si>
  <si>
    <t>1800859</t>
  </si>
  <si>
    <t>FSBR18-00589</t>
  </si>
  <si>
    <t>FSBR18-00624</t>
  </si>
  <si>
    <t>411</t>
  </si>
  <si>
    <t>1809C0466553</t>
  </si>
  <si>
    <t>18-0688</t>
  </si>
  <si>
    <t>000987/18</t>
  </si>
  <si>
    <t>240/18/GIP</t>
  </si>
  <si>
    <t>FA000631</t>
  </si>
  <si>
    <t>18425</t>
  </si>
  <si>
    <t>18366</t>
  </si>
  <si>
    <t>286/18/GIP</t>
  </si>
  <si>
    <t>3805855</t>
  </si>
  <si>
    <t>806</t>
  </si>
  <si>
    <t>2018/000307</t>
  </si>
  <si>
    <t>185714</t>
  </si>
  <si>
    <t>AS18083</t>
  </si>
  <si>
    <t>4898</t>
  </si>
  <si>
    <t>21180830030000035</t>
  </si>
  <si>
    <t>21180830030000036</t>
  </si>
  <si>
    <t>21180830030013824</t>
  </si>
  <si>
    <t>18404</t>
  </si>
  <si>
    <t>18429</t>
  </si>
  <si>
    <t>192363</t>
  </si>
  <si>
    <t>592</t>
  </si>
  <si>
    <t>18165</t>
  </si>
  <si>
    <t>21180830030000037</t>
  </si>
  <si>
    <t>FLG A3E32024</t>
  </si>
  <si>
    <t>FLG A3E05138</t>
  </si>
  <si>
    <t>FLG A3D51792</t>
  </si>
  <si>
    <t>FLG A3D45825</t>
  </si>
  <si>
    <t>TA5ZE0067040</t>
  </si>
  <si>
    <t>TA5ZD0068646</t>
  </si>
  <si>
    <t>28-I8M0-023725</t>
  </si>
  <si>
    <t>28-H8M0-024559</t>
  </si>
  <si>
    <t>21180830030000052</t>
  </si>
  <si>
    <t>192700</t>
  </si>
  <si>
    <t>2.509</t>
  </si>
  <si>
    <t>2.912</t>
  </si>
  <si>
    <t>S 97</t>
  </si>
  <si>
    <t>A 26456</t>
  </si>
  <si>
    <t>DN6005</t>
  </si>
  <si>
    <t>SUFN/1803750</t>
  </si>
  <si>
    <t>5181097</t>
  </si>
  <si>
    <t>036-18</t>
  </si>
  <si>
    <t>8503806</t>
  </si>
  <si>
    <t>18090001</t>
  </si>
  <si>
    <t>F18-105</t>
  </si>
  <si>
    <t>18/A-042</t>
  </si>
  <si>
    <t>006/2018</t>
  </si>
  <si>
    <t>1800949</t>
  </si>
  <si>
    <t>1.113/2018</t>
  </si>
  <si>
    <t>15/2018</t>
  </si>
  <si>
    <t>S 132</t>
  </si>
  <si>
    <t>S 131</t>
  </si>
  <si>
    <t>S 129</t>
  </si>
  <si>
    <t>S 127</t>
  </si>
  <si>
    <t>AL24-2018</t>
  </si>
  <si>
    <t>1180506243</t>
  </si>
  <si>
    <t>0010038379</t>
  </si>
  <si>
    <t>21180927030000036</t>
  </si>
  <si>
    <t>180604860/01853</t>
  </si>
  <si>
    <t>2018/111</t>
  </si>
  <si>
    <t>18M7901</t>
  </si>
  <si>
    <t>291658187490-11</t>
  </si>
  <si>
    <t>291658187490-12</t>
  </si>
  <si>
    <t>0001044</t>
  </si>
  <si>
    <t>S 130</t>
  </si>
  <si>
    <t>G-14527</t>
  </si>
  <si>
    <t>21180927030000035</t>
  </si>
  <si>
    <t>21180927030000037</t>
  </si>
  <si>
    <t>21180927030013691</t>
  </si>
  <si>
    <t>0000422</t>
  </si>
  <si>
    <t>0001045</t>
  </si>
  <si>
    <t>18-S-3.424</t>
  </si>
  <si>
    <t>09180927030006211</t>
  </si>
  <si>
    <t>21180927030006496</t>
  </si>
  <si>
    <t>21180927030011582</t>
  </si>
  <si>
    <t>21180927030017897</t>
  </si>
  <si>
    <t>21180927030017898</t>
  </si>
  <si>
    <t>21180927030017899</t>
  </si>
  <si>
    <t>201802485</t>
  </si>
  <si>
    <t>101/2018</t>
  </si>
  <si>
    <t>201807445</t>
  </si>
  <si>
    <t>00002958</t>
  </si>
  <si>
    <t>P18-2434</t>
  </si>
  <si>
    <t>18/0073</t>
  </si>
  <si>
    <t>1809ES171L00086</t>
  </si>
  <si>
    <t>18484</t>
  </si>
  <si>
    <t>315/18/GIP</t>
  </si>
  <si>
    <t>FSBR18-00767</t>
  </si>
  <si>
    <t>FV180508</t>
  </si>
  <si>
    <t>A-162</t>
  </si>
  <si>
    <t>21180927030000050</t>
  </si>
  <si>
    <t>21180927030000038</t>
  </si>
  <si>
    <t>18488</t>
  </si>
  <si>
    <t>TA5ZF0066151</t>
  </si>
  <si>
    <t>FLL A3C85883</t>
  </si>
  <si>
    <t>A6001556159</t>
  </si>
  <si>
    <t>FLL A3E12732</t>
  </si>
  <si>
    <t>FLL A3D50460</t>
  </si>
  <si>
    <t>SI2018015106</t>
  </si>
  <si>
    <t>00002973</t>
  </si>
  <si>
    <t>18462</t>
  </si>
  <si>
    <t>FT1801916</t>
  </si>
  <si>
    <t>B/1749229</t>
  </si>
  <si>
    <t>B/1747332</t>
  </si>
  <si>
    <t>B/1735737</t>
  </si>
  <si>
    <t>193062</t>
  </si>
  <si>
    <t>3806466</t>
  </si>
  <si>
    <t>182.407</t>
  </si>
  <si>
    <t>10/18</t>
  </si>
  <si>
    <t>I-182740</t>
  </si>
  <si>
    <t>644/18</t>
  </si>
  <si>
    <t>01RG2S1</t>
  </si>
  <si>
    <t>01RG2S2</t>
  </si>
  <si>
    <t>01RG2S3</t>
  </si>
  <si>
    <t>01ROETC</t>
  </si>
  <si>
    <t>01ROETE</t>
  </si>
  <si>
    <t>01RWSGC</t>
  </si>
  <si>
    <t>01RWSGD</t>
  </si>
  <si>
    <t>01RWSGE</t>
  </si>
  <si>
    <t>01RG2S4</t>
  </si>
  <si>
    <t>01ROETF</t>
  </si>
  <si>
    <t>01ROP3H</t>
  </si>
  <si>
    <t>01RX356</t>
  </si>
  <si>
    <t>01RWSGF</t>
  </si>
  <si>
    <t>01RGDHM</t>
  </si>
  <si>
    <t>E03006KQ2S</t>
  </si>
  <si>
    <t>E030067107</t>
  </si>
  <si>
    <t>E03006DP8M</t>
  </si>
  <si>
    <t>18188</t>
  </si>
  <si>
    <t>291658187490-13</t>
  </si>
  <si>
    <t>7250144429</t>
  </si>
  <si>
    <t>GTS 3er TRIM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</si>
</sst>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6" borderId="4" applyNumberFormat="0" applyAlignment="0" applyProtection="0"/>
    <xf numFmtId="9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27" borderId="0" applyNumberFormat="0" applyBorder="0" applyAlignment="0" applyProtection="0"/>
    <xf numFmtId="0" fontId="4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5" fillId="28" borderId="7" applyNumberFormat="0" applyAlignment="0" applyProtection="0"/>
    <xf numFmtId="0" fontId="46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53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0" borderId="0" xfId="53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49" fontId="0" fillId="0" borderId="48" xfId="0" applyNumberFormat="1" applyBorder="1" applyAlignment="1">
      <alignment/>
    </xf>
    <xf numFmtId="14" fontId="0" fillId="0" borderId="48" xfId="0" applyNumberFormat="1" applyBorder="1" applyAlignment="1">
      <alignment/>
    </xf>
    <xf numFmtId="0" fontId="2" fillId="0" borderId="0" xfId="0" applyFont="1" applyFill="1" applyAlignment="1">
      <alignment/>
    </xf>
    <xf numFmtId="3" fontId="2" fillId="0" borderId="48" xfId="0" applyNumberFormat="1" applyFont="1" applyBorder="1" applyAlignment="1">
      <alignment/>
    </xf>
    <xf numFmtId="0" fontId="2" fillId="0" borderId="48" xfId="0" applyFont="1" applyBorder="1" applyAlignment="1">
      <alignment/>
    </xf>
    <xf numFmtId="4" fontId="2" fillId="0" borderId="48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14" fontId="0" fillId="0" borderId="48" xfId="0" applyNumberFormat="1" applyFill="1" applyBorder="1" applyAlignment="1">
      <alignment/>
    </xf>
    <xf numFmtId="49" fontId="2" fillId="0" borderId="0" xfId="59" applyNumberFormat="1" applyFont="1" applyFill="1">
      <alignment/>
      <protection/>
    </xf>
    <xf numFmtId="49" fontId="2" fillId="0" borderId="0" xfId="59" applyNumberFormat="1" applyFont="1">
      <alignment/>
      <protection/>
    </xf>
    <xf numFmtId="14" fontId="4" fillId="0" borderId="0" xfId="58" applyNumberFormat="1" applyFont="1" applyFill="1" applyAlignment="1">
      <alignment horizontal="center" wrapText="1"/>
      <protection/>
    </xf>
    <xf numFmtId="0" fontId="2" fillId="0" borderId="0" xfId="59" applyFont="1">
      <alignment/>
      <protection/>
    </xf>
    <xf numFmtId="0" fontId="2" fillId="0" borderId="0" xfId="59" applyFont="1" applyFill="1">
      <alignment/>
      <protection/>
    </xf>
    <xf numFmtId="173" fontId="2" fillId="0" borderId="48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0" fillId="0" borderId="48" xfId="0" applyNumberFormat="1" applyBorder="1" applyAlignment="1">
      <alignment/>
    </xf>
    <xf numFmtId="49" fontId="0" fillId="0" borderId="48" xfId="0" applyNumberFormat="1" applyFill="1" applyBorder="1" applyAlignment="1">
      <alignment/>
    </xf>
    <xf numFmtId="4" fontId="0" fillId="0" borderId="48" xfId="0" applyNumberFormat="1" applyFill="1" applyBorder="1" applyAlignment="1">
      <alignment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40" borderId="49" xfId="0" applyFont="1" applyFill="1" applyBorder="1" applyAlignment="1">
      <alignment horizontal="left" vertical="top" wrapText="1"/>
    </xf>
    <xf numFmtId="0" fontId="2" fillId="40" borderId="50" xfId="0" applyFont="1" applyFill="1" applyBorder="1" applyAlignment="1">
      <alignment horizontal="left" vertical="top" wrapText="1"/>
    </xf>
    <xf numFmtId="0" fontId="4" fillId="42" borderId="51" xfId="0" applyFont="1" applyFill="1" applyBorder="1" applyAlignment="1">
      <alignment horizontal="right"/>
    </xf>
    <xf numFmtId="0" fontId="4" fillId="42" borderId="52" xfId="0" applyFont="1" applyFill="1" applyBorder="1" applyAlignment="1">
      <alignment horizontal="right"/>
    </xf>
    <xf numFmtId="0" fontId="4" fillId="42" borderId="53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7" xfId="0" applyFont="1" applyBorder="1" applyAlignment="1">
      <alignment/>
    </xf>
    <xf numFmtId="0" fontId="4" fillId="37" borderId="58" xfId="0" applyFont="1" applyFill="1" applyBorder="1" applyAlignment="1">
      <alignment horizont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" fillId="37" borderId="62" xfId="0" applyFont="1" applyFill="1" applyBorder="1" applyAlignment="1">
      <alignment horizontal="center" wrapText="1"/>
    </xf>
    <xf numFmtId="0" fontId="4" fillId="37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42" borderId="66" xfId="0" applyFont="1" applyFill="1" applyBorder="1" applyAlignment="1">
      <alignment horizontal="right"/>
    </xf>
    <xf numFmtId="0" fontId="4" fillId="42" borderId="34" xfId="0" applyFont="1" applyFill="1" applyBorder="1" applyAlignment="1">
      <alignment horizontal="right"/>
    </xf>
    <xf numFmtId="0" fontId="4" fillId="42" borderId="67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42" borderId="60" xfId="0" applyFont="1" applyFill="1" applyBorder="1" applyAlignment="1">
      <alignment horizontal="right"/>
    </xf>
    <xf numFmtId="0" fontId="4" fillId="42" borderId="32" xfId="0" applyFont="1" applyFill="1" applyBorder="1" applyAlignment="1">
      <alignment horizontal="right"/>
    </xf>
    <xf numFmtId="0" fontId="4" fillId="42" borderId="30" xfId="0" applyFont="1" applyFill="1" applyBorder="1" applyAlignment="1">
      <alignment horizontal="right"/>
    </xf>
    <xf numFmtId="0" fontId="4" fillId="37" borderId="5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/>
    </xf>
    <xf numFmtId="0" fontId="4" fillId="37" borderId="70" xfId="0" applyFont="1" applyFill="1" applyBorder="1" applyAlignment="1">
      <alignment horizontal="center"/>
    </xf>
    <xf numFmtId="0" fontId="4" fillId="38" borderId="71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72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7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2" borderId="74" xfId="0" applyFont="1" applyFill="1" applyBorder="1" applyAlignment="1">
      <alignment horizontal="right"/>
    </xf>
    <xf numFmtId="0" fontId="4" fillId="42" borderId="75" xfId="0" applyFont="1" applyFill="1" applyBorder="1" applyAlignment="1">
      <alignment horizontal="right"/>
    </xf>
    <xf numFmtId="0" fontId="4" fillId="42" borderId="76" xfId="0" applyFont="1" applyFill="1" applyBorder="1" applyAlignment="1">
      <alignment horizontal="right"/>
    </xf>
    <xf numFmtId="0" fontId="4" fillId="38" borderId="77" xfId="0" applyFont="1" applyFill="1" applyBorder="1" applyAlignment="1">
      <alignment horizontal="right"/>
    </xf>
    <xf numFmtId="0" fontId="4" fillId="38" borderId="78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3" borderId="72" xfId="0" applyFont="1" applyFill="1" applyBorder="1" applyAlignment="1">
      <alignment horizontal="center"/>
    </xf>
    <xf numFmtId="0" fontId="12" fillId="43" borderId="64" xfId="0" applyFont="1" applyFill="1" applyBorder="1" applyAlignment="1">
      <alignment horizontal="center"/>
    </xf>
    <xf numFmtId="0" fontId="12" fillId="43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173" fontId="2" fillId="0" borderId="79" xfId="0" applyNumberFormat="1" applyFont="1" applyBorder="1" applyAlignment="1">
      <alignment horizontal="left"/>
    </xf>
    <xf numFmtId="173" fontId="2" fillId="0" borderId="80" xfId="0" applyNumberFormat="1" applyFont="1" applyBorder="1" applyAlignment="1">
      <alignment horizontal="left"/>
    </xf>
  </cellXfs>
  <cellStyles count="51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_PAGADO" xfId="58"/>
    <cellStyle name="Normala_xehet1" xfId="59"/>
    <cellStyle name="Oharra" xfId="60"/>
    <cellStyle name="Ohar-testua" xfId="61"/>
    <cellStyle name="Ondo" xfId="62"/>
    <cellStyle name="Sarrera" xfId="63"/>
    <cellStyle name="Titulua" xfId="64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zoomScalePageLayoutView="0" workbookViewId="0" topLeftCell="A19">
      <selection activeCell="D6" sqref="D6"/>
    </sheetView>
  </sheetViews>
  <sheetFormatPr defaultColWidth="9.140625" defaultRowHeight="12.75" customHeight="1"/>
  <cols>
    <col min="1" max="1" width="3.140625" style="3" customWidth="1"/>
    <col min="2" max="2" width="4.421875" style="3" bestFit="1" customWidth="1"/>
    <col min="3" max="3" width="34.00390625" style="3" bestFit="1" customWidth="1"/>
    <col min="4" max="9" width="13.7109375" style="3" customWidth="1"/>
    <col min="10" max="16384" width="9.140625" style="3" customWidth="1"/>
  </cols>
  <sheetData>
    <row r="1" spans="1:2" ht="12.75" customHeight="1">
      <c r="A1" s="206">
        <f>SUMSQ(D27:I27,D39:F40,D59:I59,D72:F72,D82:F83,E91:H91)</f>
        <v>1076444792.2738602</v>
      </c>
      <c r="B1" s="206"/>
    </row>
    <row r="2" spans="1:9" s="46" customFormat="1" ht="15.75" customHeight="1">
      <c r="A2" s="207" t="s">
        <v>21</v>
      </c>
      <c r="B2" s="208"/>
      <c r="C2" s="208"/>
      <c r="D2" s="208"/>
      <c r="E2" s="208"/>
      <c r="F2" s="208"/>
      <c r="G2" s="208"/>
      <c r="H2" s="208"/>
      <c r="I2" s="209"/>
    </row>
    <row r="3" spans="1:9" s="46" customFormat="1" ht="15.75" customHeight="1">
      <c r="A3" s="47"/>
      <c r="B3" s="48"/>
      <c r="C3" s="49" t="s">
        <v>4</v>
      </c>
      <c r="D3" s="210" t="s">
        <v>111</v>
      </c>
      <c r="E3" s="210"/>
      <c r="F3" s="210"/>
      <c r="G3" s="210"/>
      <c r="H3" s="48"/>
      <c r="I3" s="50"/>
    </row>
    <row r="4" spans="1:9" s="46" customFormat="1" ht="15.75" customHeight="1">
      <c r="A4" s="47"/>
      <c r="B4" s="48"/>
      <c r="C4" s="51" t="s">
        <v>5</v>
      </c>
      <c r="D4" s="52">
        <v>2018</v>
      </c>
      <c r="E4" s="53"/>
      <c r="F4" s="48"/>
      <c r="G4" s="48"/>
      <c r="H4" s="48"/>
      <c r="I4" s="50"/>
    </row>
    <row r="5" spans="1:9" s="46" customFormat="1" ht="15.75" customHeight="1">
      <c r="A5" s="54"/>
      <c r="B5" s="55"/>
      <c r="C5" s="56" t="s">
        <v>6</v>
      </c>
      <c r="D5" s="57">
        <v>3</v>
      </c>
      <c r="E5" s="58"/>
      <c r="F5" s="55"/>
      <c r="G5" s="55"/>
      <c r="H5" s="55"/>
      <c r="I5" s="59"/>
    </row>
    <row r="6" spans="1:9" ht="12.75" customHeight="1">
      <c r="A6" s="23"/>
      <c r="B6" s="23"/>
      <c r="C6" s="24"/>
      <c r="D6" s="25"/>
      <c r="E6" s="25"/>
      <c r="F6" s="23"/>
      <c r="G6" s="23"/>
      <c r="H6" s="23"/>
      <c r="I6" s="23"/>
    </row>
    <row r="7" spans="1:9" ht="12.75" customHeight="1">
      <c r="A7" s="23"/>
      <c r="B7" s="23"/>
      <c r="C7" s="24"/>
      <c r="D7" s="25"/>
      <c r="E7" s="25"/>
      <c r="F7" s="23"/>
      <c r="G7" s="23"/>
      <c r="H7" s="23"/>
      <c r="I7" s="23"/>
    </row>
    <row r="9" s="46" customFormat="1" ht="15.75">
      <c r="A9" s="45" t="s">
        <v>28</v>
      </c>
    </row>
    <row r="10" ht="12.75" customHeight="1">
      <c r="A10" s="6"/>
    </row>
    <row r="11" ht="12.75" customHeight="1">
      <c r="A11" s="6"/>
    </row>
    <row r="12" s="22" customFormat="1" ht="13.5" thickBot="1">
      <c r="A12" s="1" t="s">
        <v>29</v>
      </c>
    </row>
    <row r="13" spans="1:9" ht="12.75" customHeight="1">
      <c r="A13" s="168" t="s">
        <v>22</v>
      </c>
      <c r="B13" s="169"/>
      <c r="C13" s="179"/>
      <c r="D13" s="181" t="s">
        <v>33</v>
      </c>
      <c r="E13" s="182"/>
      <c r="F13" s="193" t="s">
        <v>14</v>
      </c>
      <c r="G13" s="194"/>
      <c r="H13" s="194"/>
      <c r="I13" s="195"/>
    </row>
    <row r="14" spans="1:9" ht="12.75" customHeight="1">
      <c r="A14" s="176"/>
      <c r="B14" s="177"/>
      <c r="C14" s="180"/>
      <c r="D14" s="196" t="s">
        <v>46</v>
      </c>
      <c r="E14" s="197"/>
      <c r="F14" s="198" t="s">
        <v>35</v>
      </c>
      <c r="G14" s="199"/>
      <c r="H14" s="199" t="s">
        <v>36</v>
      </c>
      <c r="I14" s="200"/>
    </row>
    <row r="15" spans="1:9" ht="22.5">
      <c r="A15" s="176"/>
      <c r="B15" s="177"/>
      <c r="C15" s="180"/>
      <c r="D15" s="67" t="s">
        <v>11</v>
      </c>
      <c r="E15" s="27" t="s">
        <v>34</v>
      </c>
      <c r="F15" s="64" t="s">
        <v>12</v>
      </c>
      <c r="G15" s="26" t="s">
        <v>13</v>
      </c>
      <c r="H15" s="26" t="s">
        <v>12</v>
      </c>
      <c r="I15" s="78" t="s">
        <v>13</v>
      </c>
    </row>
    <row r="16" spans="1:9" ht="12.75" customHeight="1">
      <c r="A16" s="186" t="s">
        <v>18</v>
      </c>
      <c r="B16" s="187"/>
      <c r="C16" s="187"/>
      <c r="D16" s="68">
        <f>IF(G16+I16=0,0,(D17*(G17+I17)+D18*(G18+I18)+D19*(G19+I19)+D20*(G20+I20)+D21*(G21+I21))/(G16+I16))</f>
        <v>0</v>
      </c>
      <c r="E16" s="69">
        <f>IF(I16=0,0,(E17*I17+E18*I18+E19*I19+E20*I20+E21*I21)/I16)</f>
        <v>0</v>
      </c>
      <c r="F16" s="65">
        <f>SUM(F17:F21)</f>
        <v>203</v>
      </c>
      <c r="G16" s="28">
        <f>SUM(G17:G21)</f>
        <v>151643.91999999993</v>
      </c>
      <c r="H16" s="29">
        <f>SUM(H17:H21)</f>
        <v>0</v>
      </c>
      <c r="I16" s="99">
        <f>SUM(I17:I21)</f>
        <v>0</v>
      </c>
    </row>
    <row r="17" spans="1:9" ht="12.75" customHeight="1">
      <c r="A17" s="102"/>
      <c r="B17" s="103" t="s">
        <v>0</v>
      </c>
      <c r="C17" s="23" t="s">
        <v>7</v>
      </c>
      <c r="D17" s="70">
        <f>IF(F17+H17=0,0,SUMIF(xehet1!S:S,20,xehet1!T:T)/SUMIF(xehet1!S:S,20,xehet1!D:D))</f>
        <v>0</v>
      </c>
      <c r="E17" s="42">
        <f>IF(H17=0,0,SUMIF(xehet1!V:V,220,xehet1!T:T)/SUMIF(xehet1!V:V,220,xehet1!D:D))</f>
        <v>0</v>
      </c>
      <c r="F17" s="43">
        <f>COUNTIF(xehet1!V:V,120)</f>
        <v>13</v>
      </c>
      <c r="G17" s="30">
        <f>SUMIF(xehet1!V:V,120,xehet1!D:D)</f>
        <v>2487.8400000000006</v>
      </c>
      <c r="H17" s="31">
        <f>COUNTIF(xehet1!V:V,220)</f>
        <v>0</v>
      </c>
      <c r="I17" s="89">
        <f>SUMIF(xehet1!V:V,220,xehet1!D:D)</f>
        <v>0</v>
      </c>
    </row>
    <row r="18" spans="1:9" ht="12.75" customHeight="1">
      <c r="A18" s="102"/>
      <c r="B18" s="103" t="s">
        <v>1</v>
      </c>
      <c r="C18" s="23" t="s">
        <v>19</v>
      </c>
      <c r="D18" s="70">
        <f>IF(F18+H18=0,0,SUMIF(xehet1!S:S,21,xehet1!T:T)/SUMIF(xehet1!S:S,21,xehet1!D:D))</f>
        <v>0</v>
      </c>
      <c r="E18" s="42">
        <f>IF(H18=0,0,SUMIF(xehet1!V:V,221,xehet1!T:T)/SUMIF(xehet1!V:V,221,xehet1!D:D))</f>
        <v>0</v>
      </c>
      <c r="F18" s="43">
        <f>COUNTIF(xehet1!V:V,121)</f>
        <v>29</v>
      </c>
      <c r="G18" s="30">
        <f>SUMIF(xehet1!V:V,121,xehet1!D:D)</f>
        <v>9693.23</v>
      </c>
      <c r="H18" s="31">
        <f>COUNTIF(xehet1!V:V,221)</f>
        <v>0</v>
      </c>
      <c r="I18" s="89">
        <f>SUMIF(xehet1!V:V,221,xehet1!D:D)</f>
        <v>0</v>
      </c>
    </row>
    <row r="19" spans="1:9" ht="12.75" customHeight="1">
      <c r="A19" s="102"/>
      <c r="B19" s="103" t="s">
        <v>2</v>
      </c>
      <c r="C19" s="23" t="s">
        <v>8</v>
      </c>
      <c r="D19" s="70">
        <f>IF(F19+H19=0,0,SUMIF(xehet1!S:S,22,xehet1!T:T)/SUMIF(xehet1!S:S,22,xehet1!D:D))</f>
        <v>0</v>
      </c>
      <c r="E19" s="42">
        <f>IF(H19=0,0,SUMIF(xehet1!V:V,222,xehet1!T:T)/SUMIF(xehet1!V:V,222,xehet1!D:D))</f>
        <v>0</v>
      </c>
      <c r="F19" s="43">
        <f>COUNTIF(xehet1!V:V,122)</f>
        <v>4</v>
      </c>
      <c r="G19" s="30">
        <f>SUMIF(xehet1!V:V,122,xehet1!D:D)</f>
        <v>3288.2</v>
      </c>
      <c r="H19" s="31">
        <f>COUNTIF(xehet1!V:V,222)</f>
        <v>0</v>
      </c>
      <c r="I19" s="89">
        <f>SUMIF(xehet1!V:V,222,xehet1!D:D)</f>
        <v>0</v>
      </c>
    </row>
    <row r="20" spans="1:9" ht="12.75" customHeight="1">
      <c r="A20" s="102"/>
      <c r="B20" s="103" t="s">
        <v>3</v>
      </c>
      <c r="C20" s="23" t="s">
        <v>9</v>
      </c>
      <c r="D20" s="70">
        <f>IF(F20+H20=0,0,SUMIF(xehet1!S:S,23,xehet1!T:T)/SUMIF(xehet1!S:S,23,xehet1!D:D))</f>
        <v>0</v>
      </c>
      <c r="E20" s="42">
        <f>IF(H20=0,0,SUMIF(xehet1!V:V,223,xehet1!T:T)/SUMIF(xehet1!V:V,223,xehet1!D:D))</f>
        <v>0</v>
      </c>
      <c r="F20" s="43">
        <f>COUNTIF(xehet1!V:V,123)</f>
        <v>0</v>
      </c>
      <c r="G20" s="30">
        <f>SUMIF(xehet1!V:V,123,xehet1!D:D)</f>
        <v>0</v>
      </c>
      <c r="H20" s="31">
        <f>COUNTIF(xehet1!V:V,223)</f>
        <v>0</v>
      </c>
      <c r="I20" s="89">
        <f>SUMIF(xehet1!V:V,223,xehet1!D:D)</f>
        <v>0</v>
      </c>
    </row>
    <row r="21" spans="1:9" ht="12.75" customHeight="1">
      <c r="A21" s="102"/>
      <c r="B21" s="103" t="s">
        <v>24</v>
      </c>
      <c r="C21" s="23" t="s">
        <v>23</v>
      </c>
      <c r="D21" s="70">
        <f>IF(F21+H21=0,0,SUMIF(xehet1!S:S,29,xehet1!T:T)/SUMIF(xehet1!S:S,29,xehet1!D:D))</f>
        <v>0</v>
      </c>
      <c r="E21" s="42">
        <f>IF(H21=0,0,SUMIF(xehet1!V:V,229,xehet1!T:T)/SUMIF(xehet1!V:V,229,xehet1!D:D))</f>
        <v>0</v>
      </c>
      <c r="F21" s="43">
        <f>COUNTIF(xehet1!V:V,129)</f>
        <v>157</v>
      </c>
      <c r="G21" s="30">
        <f>SUMIF(xehet1!V:V,129,xehet1!D:D)</f>
        <v>136174.64999999994</v>
      </c>
      <c r="H21" s="31">
        <f>COUNTIF(xehet1!V:V,229)</f>
        <v>0</v>
      </c>
      <c r="I21" s="89">
        <f>SUMIF(xehet1!V:V,229,xehet1!D:D)</f>
        <v>0</v>
      </c>
    </row>
    <row r="22" spans="1:9" ht="12.75" customHeight="1">
      <c r="A22" s="186" t="s">
        <v>10</v>
      </c>
      <c r="B22" s="187"/>
      <c r="C22" s="187"/>
      <c r="D22" s="68">
        <f aca="true" t="shared" si="0" ref="D22:I22">D23</f>
        <v>0</v>
      </c>
      <c r="E22" s="69">
        <f t="shared" si="0"/>
        <v>0</v>
      </c>
      <c r="F22" s="66">
        <f t="shared" si="0"/>
        <v>3</v>
      </c>
      <c r="G22" s="33">
        <f t="shared" si="0"/>
        <v>3557.3</v>
      </c>
      <c r="H22" s="32">
        <f t="shared" si="0"/>
        <v>0</v>
      </c>
      <c r="I22" s="99">
        <f t="shared" si="0"/>
        <v>0</v>
      </c>
    </row>
    <row r="23" spans="1:9" ht="12.75" customHeight="1">
      <c r="A23" s="102"/>
      <c r="B23" s="104" t="s">
        <v>26</v>
      </c>
      <c r="C23" s="105" t="s">
        <v>27</v>
      </c>
      <c r="D23" s="70">
        <f>IF(F23+H23=0,0,SUMIF(xehet1!S:S,69,xehet1!T:T)/SUMIF(xehet1!S:S,69,xehet1!D:D))</f>
        <v>0</v>
      </c>
      <c r="E23" s="42">
        <f>IF(H23=0,0,SUMIF(xehet1!V:V,269,xehet1!T:T)/SUMIF(xehet1!V:V,269,xehet1!D:D))</f>
        <v>0</v>
      </c>
      <c r="F23" s="43">
        <f>COUNTIF(xehet1!V:V,169)</f>
        <v>3</v>
      </c>
      <c r="G23" s="30">
        <f>SUMIF(xehet1!V:V,169,xehet1!D:D)</f>
        <v>3557.3</v>
      </c>
      <c r="H23" s="31">
        <f>COUNTIF(xehet1!V:V,269)</f>
        <v>0</v>
      </c>
      <c r="I23" s="89">
        <f>SUMIF(xehet1!V:V,269,xehet1!D:D)</f>
        <v>0</v>
      </c>
    </row>
    <row r="24" spans="1:9" ht="12.75" customHeight="1">
      <c r="A24" s="186" t="s">
        <v>66</v>
      </c>
      <c r="B24" s="187"/>
      <c r="C24" s="187"/>
      <c r="D24" s="68">
        <f aca="true" t="shared" si="1" ref="D24:I24">D25</f>
        <v>0</v>
      </c>
      <c r="E24" s="69">
        <f t="shared" si="1"/>
        <v>0</v>
      </c>
      <c r="F24" s="66">
        <f t="shared" si="1"/>
        <v>0</v>
      </c>
      <c r="G24" s="33">
        <f t="shared" si="1"/>
        <v>0</v>
      </c>
      <c r="H24" s="32">
        <f t="shared" si="1"/>
        <v>0</v>
      </c>
      <c r="I24" s="99">
        <f t="shared" si="1"/>
        <v>0</v>
      </c>
    </row>
    <row r="25" spans="1:9" ht="12.75" customHeight="1">
      <c r="A25" s="102"/>
      <c r="B25" s="171" t="s">
        <v>25</v>
      </c>
      <c r="C25" s="171"/>
      <c r="D25" s="110"/>
      <c r="E25" s="111"/>
      <c r="F25" s="112"/>
      <c r="G25" s="113"/>
      <c r="H25" s="114"/>
      <c r="I25" s="115"/>
    </row>
    <row r="26" spans="1:9" ht="12.75" customHeight="1" thickBot="1">
      <c r="A26" s="204" t="s">
        <v>11</v>
      </c>
      <c r="B26" s="205"/>
      <c r="C26" s="205"/>
      <c r="D26" s="79">
        <f>IF(G26+I26=0,0,(D16*(G16+I16)+D22*(G22+I22)+D24*(G24+I24))/(G26+I26))</f>
        <v>0</v>
      </c>
      <c r="E26" s="80">
        <f>IF(I26=0,0,(E16*I16+E22*I22+E24*I24)/I26)</f>
        <v>0</v>
      </c>
      <c r="F26" s="81">
        <f>F16+F22+F24</f>
        <v>206</v>
      </c>
      <c r="G26" s="82">
        <f>G16+G22+G24</f>
        <v>155201.2199999999</v>
      </c>
      <c r="H26" s="83">
        <f>H16+H22+H24</f>
        <v>0</v>
      </c>
      <c r="I26" s="86">
        <f>I16+I22+I24</f>
        <v>0</v>
      </c>
    </row>
    <row r="27" spans="1:9" ht="12.75" customHeight="1">
      <c r="A27" s="3" t="s">
        <v>68</v>
      </c>
      <c r="D27" s="76">
        <f>IF(SUM(xehet1!D:D)=0,0,SUM(xehet1!T:T)/SUM(xehet1!D:D))-IF((G16+I16+G22+I22)=0,0,(D16*(G16+I16)+D22*(G22+I22))/(G16+I16+G22+I22))</f>
        <v>0</v>
      </c>
      <c r="E27" s="76">
        <f>IF(SUMIF(xehet1!V:V,"&gt;199",xehet1!D:D)=0,0,SUMIF(xehet1!V:V,"&gt;199",xehet1!T:T)/SUMIF(xehet1!V:V,"&gt;199",xehet1!D:D))-IF(I16+I22=0,0,(E16*I16+E22*I22)/(I16+I22))</f>
        <v>0</v>
      </c>
      <c r="F27" s="76">
        <f>COUNTIF(xehet1!P:P,"&lt;=30")-F26+F25</f>
        <v>0</v>
      </c>
      <c r="G27" s="76">
        <f>SUMIF(xehet1!P:P,"&lt;=30",xehet1!D:D)-G26+G25</f>
        <v>5.820766091346741E-11</v>
      </c>
      <c r="H27" s="76">
        <f>COUNTIF(xehet1!P:P,"&gt;30")-H26+H25</f>
        <v>0</v>
      </c>
      <c r="I27" s="76">
        <f>SUMIF(xehet1!P:P,"&gt;30",xehet1!D:D)-I26+I25</f>
        <v>0</v>
      </c>
    </row>
    <row r="28" spans="4:9" ht="12.75" customHeight="1">
      <c r="D28" s="38"/>
      <c r="E28" s="38"/>
      <c r="F28" s="38"/>
      <c r="G28" s="38"/>
      <c r="H28" s="38"/>
      <c r="I28" s="38"/>
    </row>
    <row r="29" spans="4:9" ht="12.75" customHeight="1">
      <c r="D29" s="38"/>
      <c r="E29" s="38"/>
      <c r="F29" s="38"/>
      <c r="G29" s="38"/>
      <c r="H29" s="38"/>
      <c r="I29" s="38"/>
    </row>
    <row r="30" ht="13.5" thickBot="1">
      <c r="A30" s="1" t="s">
        <v>30</v>
      </c>
    </row>
    <row r="31" spans="1:7" ht="12.75" customHeight="1">
      <c r="A31" s="168" t="s">
        <v>56</v>
      </c>
      <c r="B31" s="169"/>
      <c r="C31" s="170"/>
      <c r="D31" s="138" t="s">
        <v>57</v>
      </c>
      <c r="E31" s="139"/>
      <c r="F31" s="139"/>
      <c r="G31" s="140"/>
    </row>
    <row r="32" spans="1:7" ht="12.75" customHeight="1">
      <c r="A32" s="176"/>
      <c r="B32" s="177"/>
      <c r="C32" s="178"/>
      <c r="D32" s="64" t="s">
        <v>58</v>
      </c>
      <c r="E32" s="26" t="s">
        <v>59</v>
      </c>
      <c r="F32" s="26" t="s">
        <v>13</v>
      </c>
      <c r="G32" s="78" t="s">
        <v>59</v>
      </c>
    </row>
    <row r="33" spans="1:7" ht="12.75" customHeight="1">
      <c r="A33" s="102"/>
      <c r="B33" s="163" t="s">
        <v>39</v>
      </c>
      <c r="C33" s="164"/>
      <c r="D33" s="74">
        <f>COUNTIF(xehet1!P:P,"&lt;=30")+F25</f>
        <v>206</v>
      </c>
      <c r="E33" s="36">
        <f>IF($D$38=0,0,D33*100/$D$38)</f>
        <v>100</v>
      </c>
      <c r="F33" s="36">
        <f>SUMIF(xehet1!P:P,"&lt;=30",xehet1!D:D)+G25</f>
        <v>155201.21999999997</v>
      </c>
      <c r="G33" s="116">
        <f>IF($F$38=0,0,F33*100/$F$38)</f>
        <v>100</v>
      </c>
    </row>
    <row r="34" spans="1:7" ht="12.75" customHeight="1">
      <c r="A34" s="102"/>
      <c r="B34" s="161" t="s">
        <v>60</v>
      </c>
      <c r="C34" s="162"/>
      <c r="D34" s="75">
        <f>COUNTIF(xehet1!P:P,"&lt;=40")-D33+F25+IF(AND(E25&gt;30,E25&lt;=40),H25)</f>
        <v>0</v>
      </c>
      <c r="E34" s="30">
        <f>IF($D$38=0,0,D34*100/$D$38)</f>
        <v>0</v>
      </c>
      <c r="F34" s="30">
        <f>SUMIF(xehet1!P:P,"&lt;=40",xehet1!D:D)-F33+G25+IF(AND(E25&gt;30,E25&lt;=40),I25)</f>
        <v>0</v>
      </c>
      <c r="G34" s="89">
        <f>IF($F$38=0,0,F34*100/$F$38)</f>
        <v>0</v>
      </c>
    </row>
    <row r="35" spans="1:7" ht="12.75" customHeight="1">
      <c r="A35" s="102"/>
      <c r="B35" s="106" t="s">
        <v>61</v>
      </c>
      <c r="C35" s="107"/>
      <c r="D35" s="75">
        <f>COUNTIF(xehet1!P:P,"&lt;=50")-SUM(D33:D34)+F25+IF(E25&lt;=50,H25)</f>
        <v>0</v>
      </c>
      <c r="E35" s="30">
        <f>IF($D$38=0,0,D35*100/$D$38)</f>
        <v>0</v>
      </c>
      <c r="F35" s="30">
        <f>SUMIF(xehet1!P:P,"&lt;=50",xehet1!D:D)-SUM(F33:F34)+G25+IF(E25&lt;=50,I25)</f>
        <v>0</v>
      </c>
      <c r="G35" s="89">
        <f>IF($F$38=0,0,F35*100/$F$38)</f>
        <v>0</v>
      </c>
    </row>
    <row r="36" spans="1:7" ht="12.75" customHeight="1">
      <c r="A36" s="102"/>
      <c r="B36" s="163" t="s">
        <v>62</v>
      </c>
      <c r="C36" s="164"/>
      <c r="D36" s="75">
        <f>COUNTIF(xehet1!P:P,"&lt;=60")-SUM(D33:D35)+F25+IF(E25&lt;=60,H25)</f>
        <v>0</v>
      </c>
      <c r="E36" s="30">
        <f>IF($D$38=0,0,D36*100/$D$38)</f>
        <v>0</v>
      </c>
      <c r="F36" s="30">
        <f>SUMIF(xehet1!P:P,"&lt;=60",xehet1!D:D)-SUM(F33:F35)+G25+IF(E25&lt;=60,I25)</f>
        <v>0</v>
      </c>
      <c r="G36" s="89">
        <f>IF($F$38=0,0,F36*100/$F$38)</f>
        <v>0</v>
      </c>
    </row>
    <row r="37" spans="1:7" ht="12.75" customHeight="1">
      <c r="A37" s="108"/>
      <c r="B37" s="171" t="s">
        <v>63</v>
      </c>
      <c r="C37" s="172"/>
      <c r="D37" s="98">
        <f>COUNTIF(xehet1!P:P,"&gt;60")+IF(E25&gt;60,H25)</f>
        <v>0</v>
      </c>
      <c r="E37" s="30">
        <f>IF($D$38=0,0,D37*100/$D$38)</f>
        <v>0</v>
      </c>
      <c r="F37" s="34">
        <f>SUMIF(xehet1!P:P,"&gt;60",xehet1!D:D)+IF(E25&gt;60,I25)</f>
        <v>0</v>
      </c>
      <c r="G37" s="89">
        <f>IF($F$38=0,0,F37*100/$F$38)</f>
        <v>0</v>
      </c>
    </row>
    <row r="38" spans="1:7" ht="12.75" customHeight="1" thickBot="1">
      <c r="A38" s="201" t="s">
        <v>11</v>
      </c>
      <c r="B38" s="202"/>
      <c r="C38" s="203"/>
      <c r="D38" s="84">
        <f>SUM(D33:D37)</f>
        <v>206</v>
      </c>
      <c r="E38" s="85">
        <f>SUM(E33:E37)</f>
        <v>100</v>
      </c>
      <c r="F38" s="85">
        <f>SUM(F33:F37)</f>
        <v>155201.21999999997</v>
      </c>
      <c r="G38" s="86">
        <f>SUM(G33:G37)</f>
        <v>100</v>
      </c>
    </row>
    <row r="39" spans="1:6" ht="12.75" customHeight="1">
      <c r="A39" s="37"/>
      <c r="B39" s="37"/>
      <c r="C39" s="37"/>
      <c r="D39" s="76">
        <f>COUNT(xehet1!D:D)-D38+F25+H25</f>
        <v>7</v>
      </c>
      <c r="E39" s="76"/>
      <c r="F39" s="76">
        <f>SUM(xehet1!D:D)-F38+G25+I25</f>
        <v>65.86999999999534</v>
      </c>
    </row>
    <row r="40" spans="1:6" ht="12.75" customHeight="1">
      <c r="A40" s="37"/>
      <c r="B40" s="37"/>
      <c r="C40" s="37"/>
      <c r="D40" s="76">
        <f>F26+H26-D38</f>
        <v>0</v>
      </c>
      <c r="E40" s="76"/>
      <c r="F40" s="76">
        <f>G26+I26-F38</f>
        <v>0</v>
      </c>
    </row>
    <row r="41" spans="1:6" ht="12.75" customHeight="1">
      <c r="A41" s="37"/>
      <c r="B41" s="37"/>
      <c r="C41" s="37"/>
      <c r="D41" s="23"/>
      <c r="E41" s="23"/>
      <c r="F41" s="38"/>
    </row>
    <row r="42" s="46" customFormat="1" ht="15.75">
      <c r="A42" s="45" t="s">
        <v>37</v>
      </c>
    </row>
    <row r="43" ht="12.75" customHeight="1">
      <c r="A43" s="6"/>
    </row>
    <row r="44" ht="12.75" customHeight="1" thickBot="1">
      <c r="A44" s="6"/>
    </row>
    <row r="45" spans="1:9" ht="12.75" customHeight="1">
      <c r="A45" s="168" t="s">
        <v>32</v>
      </c>
      <c r="B45" s="169"/>
      <c r="C45" s="179"/>
      <c r="D45" s="181" t="s">
        <v>43</v>
      </c>
      <c r="E45" s="182"/>
      <c r="F45" s="193" t="s">
        <v>16</v>
      </c>
      <c r="G45" s="194"/>
      <c r="H45" s="194"/>
      <c r="I45" s="195"/>
    </row>
    <row r="46" spans="1:9" ht="12.75" customHeight="1">
      <c r="A46" s="176"/>
      <c r="B46" s="177"/>
      <c r="C46" s="180"/>
      <c r="D46" s="196" t="s">
        <v>46</v>
      </c>
      <c r="E46" s="197"/>
      <c r="F46" s="198" t="s">
        <v>35</v>
      </c>
      <c r="G46" s="199"/>
      <c r="H46" s="199" t="s">
        <v>36</v>
      </c>
      <c r="I46" s="200"/>
    </row>
    <row r="47" spans="1:9" ht="22.5">
      <c r="A47" s="176"/>
      <c r="B47" s="177"/>
      <c r="C47" s="180"/>
      <c r="D47" s="67" t="s">
        <v>11</v>
      </c>
      <c r="E47" s="27" t="s">
        <v>34</v>
      </c>
      <c r="F47" s="64" t="s">
        <v>15</v>
      </c>
      <c r="G47" s="26" t="s">
        <v>13</v>
      </c>
      <c r="H47" s="26" t="s">
        <v>15</v>
      </c>
      <c r="I47" s="78" t="s">
        <v>13</v>
      </c>
    </row>
    <row r="48" spans="1:9" ht="12.75" customHeight="1">
      <c r="A48" s="183" t="s">
        <v>18</v>
      </c>
      <c r="B48" s="184"/>
      <c r="C48" s="185"/>
      <c r="D48" s="68">
        <f>IF(G48+I48=0,0,(D49*(G49+I49)+D50*(G50+I50)+D51*(G51+I51)+D52*(G52+I52)+D53*(G53+I53))/(G48+I48))</f>
        <v>0</v>
      </c>
      <c r="E48" s="69">
        <f>IF(I48=0,0,(E49*I49+E50*I50+E51*I51+E52*I52+E53*I53)/I48)</f>
        <v>0</v>
      </c>
      <c r="F48" s="65">
        <f>SUM(F49:F53)</f>
        <v>0</v>
      </c>
      <c r="G48" s="28">
        <f>SUM(G49:G53)</f>
        <v>0</v>
      </c>
      <c r="H48" s="29">
        <f>SUM(H49:H53)</f>
        <v>0</v>
      </c>
      <c r="I48" s="99">
        <f>SUM(I49:I53)</f>
        <v>0</v>
      </c>
    </row>
    <row r="49" spans="1:9" ht="12.75" customHeight="1">
      <c r="A49" s="102"/>
      <c r="B49" s="103" t="s">
        <v>0</v>
      </c>
      <c r="C49" s="23" t="s">
        <v>7</v>
      </c>
      <c r="D49" s="70">
        <f>IF(F49+H49=0,0,SUMIF(xehet2!S:S,20,xehet2!T:T)/SUMIF(xehet2!S:S,20,xehet2!D:D))</f>
        <v>0</v>
      </c>
      <c r="E49" s="42">
        <f>IF(H49=0,0,SUMIF(xehet2!V:V,220,xehet2!T:T)/SUMIF(xehet2!V:V,220,xehet2!D:D))</f>
        <v>0</v>
      </c>
      <c r="F49" s="43">
        <f>COUNTIF(xehet2!V:V,120)</f>
        <v>0</v>
      </c>
      <c r="G49" s="30">
        <f>SUMIF(xehet2!V:V,120,xehet2!D:D)</f>
        <v>0</v>
      </c>
      <c r="H49" s="31">
        <f>COUNTIF(xehet2!V:V,220)</f>
        <v>0</v>
      </c>
      <c r="I49" s="89">
        <f>SUMIF(xehet2!V:V,220,xehet2!D:D)</f>
        <v>0</v>
      </c>
    </row>
    <row r="50" spans="1:9" ht="12.75" customHeight="1">
      <c r="A50" s="102"/>
      <c r="B50" s="103" t="s">
        <v>1</v>
      </c>
      <c r="C50" s="23" t="s">
        <v>88</v>
      </c>
      <c r="D50" s="70">
        <f>IF(F50+H50=0,0,SUMIF(xehet2!S:S,21,xehet2!T:T)/SUMIF(xehet2!S:S,21,xehet2!D:D))</f>
        <v>0</v>
      </c>
      <c r="E50" s="42">
        <f>IF(H50=0,0,SUMIF(xehet2!V:V,221,xehet2!T:T)/SUMIF(xehet2!V:V,221,xehet2!D:D))</f>
        <v>0</v>
      </c>
      <c r="F50" s="43">
        <f>COUNTIF(xehet2!V:V,121)</f>
        <v>0</v>
      </c>
      <c r="G50" s="30">
        <f>SUMIF(xehet2!V:V,121,xehet2!D:D)</f>
        <v>0</v>
      </c>
      <c r="H50" s="31">
        <f>COUNTIF(xehet2!V:V,221)</f>
        <v>0</v>
      </c>
      <c r="I50" s="89">
        <f>SUMIF(xehet2!V:V,221,xehet2!D:D)</f>
        <v>0</v>
      </c>
    </row>
    <row r="51" spans="1:9" ht="12.75" customHeight="1">
      <c r="A51" s="102"/>
      <c r="B51" s="103" t="s">
        <v>2</v>
      </c>
      <c r="C51" s="23" t="s">
        <v>89</v>
      </c>
      <c r="D51" s="70">
        <f>IF(F51+H51=0,0,SUMIF(xehet2!S:S,22,xehet2!T:T)/SUMIF(xehet2!S:S,22,xehet2!D:D))</f>
        <v>0</v>
      </c>
      <c r="E51" s="42">
        <f>IF(H51=0,0,SUMIF(xehet2!V:V,222,xehet2!T:T)/SUMIF(xehet2!V:V,222,xehet2!D:D))</f>
        <v>0</v>
      </c>
      <c r="F51" s="43">
        <f>COUNTIF(xehet2!V:V,122)</f>
        <v>0</v>
      </c>
      <c r="G51" s="30">
        <f>SUMIF(xehet2!V:V,122,xehet2!D:D)</f>
        <v>0</v>
      </c>
      <c r="H51" s="31">
        <f>COUNTIF(xehet2!V:V,222)</f>
        <v>0</v>
      </c>
      <c r="I51" s="89">
        <f>SUMIF(xehet2!V:V,222,xehet2!D:D)</f>
        <v>0</v>
      </c>
    </row>
    <row r="52" spans="1:9" ht="12.75" customHeight="1">
      <c r="A52" s="102"/>
      <c r="B52" s="103" t="s">
        <v>3</v>
      </c>
      <c r="C52" s="23" t="s">
        <v>90</v>
      </c>
      <c r="D52" s="70">
        <f>IF(F52+H52=0,0,SUMIF(xehet2!S:S,23,xehet2!T:T)/SUMIF(xehet2!S:S,23,xehet2!D:D))</f>
        <v>0</v>
      </c>
      <c r="E52" s="42">
        <f>IF(H52=0,0,SUMIF(xehet2!V:V,223,xehet2!T:T)/SUMIF(xehet2!V:V,223,xehet2!D:D))</f>
        <v>0</v>
      </c>
      <c r="F52" s="43">
        <f>COUNTIF(xehet2!V:V,123)</f>
        <v>0</v>
      </c>
      <c r="G52" s="30">
        <f>SUMIF(xehet2!V:V,123,xehet2!D:D)</f>
        <v>0</v>
      </c>
      <c r="H52" s="31">
        <f>COUNTIF(xehet2!V:V,223)</f>
        <v>0</v>
      </c>
      <c r="I52" s="89">
        <f>SUMIF(xehet2!V:V,223,xehet2!D:D)</f>
        <v>0</v>
      </c>
    </row>
    <row r="53" spans="1:9" ht="12.75" customHeight="1">
      <c r="A53" s="102"/>
      <c r="B53" s="103" t="s">
        <v>24</v>
      </c>
      <c r="C53" s="23" t="s">
        <v>23</v>
      </c>
      <c r="D53" s="70">
        <f>IF(F53+H53=0,0,SUMIF(xehet2!S:S,29,xehet2!T:T)/SUMIF(xehet2!S:S,29,xehet2!D:D))</f>
        <v>0</v>
      </c>
      <c r="E53" s="42">
        <f>IF(H53=0,0,SUMIF(xehet2!V:V,229,xehet2!T:T)/SUMIF(xehet2!V:V,229,xehet2!D:D))</f>
        <v>0</v>
      </c>
      <c r="F53" s="43">
        <f>COUNTIF(xehet2!V:V,129)</f>
        <v>0</v>
      </c>
      <c r="G53" s="30">
        <f>SUMIF(xehet2!V:V,129,xehet2!D:D)</f>
        <v>0</v>
      </c>
      <c r="H53" s="31">
        <f>COUNTIF(xehet2!V:V,229)</f>
        <v>0</v>
      </c>
      <c r="I53" s="89">
        <f>SUMIF(xehet2!V:V,229,xehet2!D:D)</f>
        <v>0</v>
      </c>
    </row>
    <row r="54" spans="1:9" ht="12.75" customHeight="1">
      <c r="A54" s="186" t="s">
        <v>10</v>
      </c>
      <c r="B54" s="187"/>
      <c r="C54" s="187"/>
      <c r="D54" s="68">
        <f aca="true" t="shared" si="2" ref="D54:I54">D55</f>
        <v>0</v>
      </c>
      <c r="E54" s="69">
        <f t="shared" si="2"/>
        <v>0</v>
      </c>
      <c r="F54" s="66">
        <f t="shared" si="2"/>
        <v>0</v>
      </c>
      <c r="G54" s="33">
        <f t="shared" si="2"/>
        <v>0</v>
      </c>
      <c r="H54" s="32">
        <f t="shared" si="2"/>
        <v>0</v>
      </c>
      <c r="I54" s="99">
        <f t="shared" si="2"/>
        <v>0</v>
      </c>
    </row>
    <row r="55" spans="1:9" ht="12.75" customHeight="1">
      <c r="A55" s="102"/>
      <c r="B55" s="104" t="s">
        <v>26</v>
      </c>
      <c r="C55" s="105" t="s">
        <v>27</v>
      </c>
      <c r="D55" s="70">
        <f>IF(F55+H55=0,0,SUMIF(xehet2!S:S,69,xehet2!T:T)/SUMIF(xehet2!S:S,69,xehet2!D:D))</f>
        <v>0</v>
      </c>
      <c r="E55" s="42">
        <f>IF(H55=0,0,SUMIF(xehet2!V:V,269,xehet2!T:T)/SUMIF(xehet2!V:V,269,xehet2!D:D))</f>
        <v>0</v>
      </c>
      <c r="F55" s="43">
        <f>COUNTIF(xehet2!V:V,169)</f>
        <v>0</v>
      </c>
      <c r="G55" s="30">
        <f>SUMIF(xehet2!V:V,169,xehet2!D:D)</f>
        <v>0</v>
      </c>
      <c r="H55" s="31">
        <f>COUNTIF(xehet2!V:V,269)</f>
        <v>0</v>
      </c>
      <c r="I55" s="89">
        <f>SUMIF(xehet2!V:V,269,xehet2!D:D)</f>
        <v>0</v>
      </c>
    </row>
    <row r="56" spans="1:9" ht="12.75" customHeight="1">
      <c r="A56" s="188" t="s">
        <v>67</v>
      </c>
      <c r="B56" s="189"/>
      <c r="C56" s="190"/>
      <c r="D56" s="68">
        <f aca="true" t="shared" si="3" ref="D56:I56">D57</f>
        <v>0</v>
      </c>
      <c r="E56" s="69">
        <f t="shared" si="3"/>
        <v>0</v>
      </c>
      <c r="F56" s="66">
        <f t="shared" si="3"/>
        <v>0</v>
      </c>
      <c r="G56" s="33">
        <f t="shared" si="3"/>
        <v>0</v>
      </c>
      <c r="H56" s="32">
        <f t="shared" si="3"/>
        <v>0</v>
      </c>
      <c r="I56" s="99">
        <f t="shared" si="3"/>
        <v>0</v>
      </c>
    </row>
    <row r="57" spans="1:9" ht="12.75" customHeight="1">
      <c r="A57" s="102"/>
      <c r="B57" s="191" t="s">
        <v>20</v>
      </c>
      <c r="C57" s="192"/>
      <c r="D57" s="110"/>
      <c r="E57" s="111"/>
      <c r="F57" s="112"/>
      <c r="G57" s="113"/>
      <c r="H57" s="114"/>
      <c r="I57" s="115"/>
    </row>
    <row r="58" spans="1:9" ht="12.75" customHeight="1" thickBot="1">
      <c r="A58" s="165" t="s">
        <v>11</v>
      </c>
      <c r="B58" s="166"/>
      <c r="C58" s="167"/>
      <c r="D58" s="79">
        <f>IF(G58+I58=0,0,(D48*(G48+I48)+D54*(G54+I54)+D56*(G56+I56))/(G58+I58))</f>
        <v>0</v>
      </c>
      <c r="E58" s="80">
        <f>IF(I58=0,0,(E48*I48+E54*I54+E56*I56)/I58)</f>
        <v>0</v>
      </c>
      <c r="F58" s="81">
        <f>F48+F54+F56</f>
        <v>0</v>
      </c>
      <c r="G58" s="82">
        <f>G48+G54+G56</f>
        <v>0</v>
      </c>
      <c r="H58" s="83">
        <f>H48+H54+H56</f>
        <v>0</v>
      </c>
      <c r="I58" s="86">
        <f>I48+I54+I56</f>
        <v>0</v>
      </c>
    </row>
    <row r="59" spans="1:9" ht="12.75" customHeight="1">
      <c r="A59" s="3" t="s">
        <v>68</v>
      </c>
      <c r="D59" s="76">
        <f>IF(SUM(xehet2!D:D)=0,0,SUM(xehet2!T:T)/SUM(xehet2!D:D))-IF((G48+I48+G54+I54)=0,0,(D48*(G48+I48)+D54*(G54+I54))/(G48+I48+G54+I54))</f>
        <v>0</v>
      </c>
      <c r="E59" s="76">
        <f>IF(SUMIF(xehet2!V:V,"&gt;199",xehet2!D:D)=0,0,SUMIF(xehet2!V:V,"&gt;199",xehet2!T:T)/SUMIF(xehet2!V:V,"&gt;199",xehet2!D:D))-IF(I48+I54=0,0,(E48*I48+E54*I54)/(I48+I54))</f>
        <v>0</v>
      </c>
      <c r="F59" s="76">
        <f>COUNTIF(xehet2!P:P,"&lt;=30")-F58+F57</f>
        <v>0</v>
      </c>
      <c r="G59" s="76">
        <f>SUMIF(xehet2!P:P,"&lt;=30",xehet2!D:D)-G58+G57</f>
        <v>0</v>
      </c>
      <c r="H59" s="76">
        <f>COUNTIF(xehet2!P:P,"&gt;30")-H58+H57</f>
        <v>0</v>
      </c>
      <c r="I59" s="76">
        <f>SUMIF(xehet2!P:P,"&gt;30",xehet2!D:D)-I58+I57</f>
        <v>0</v>
      </c>
    </row>
    <row r="60" spans="4:9" ht="12.75" customHeight="1">
      <c r="D60" s="38"/>
      <c r="E60" s="38"/>
      <c r="F60" s="38"/>
      <c r="G60" s="38"/>
      <c r="H60" s="38"/>
      <c r="I60" s="38"/>
    </row>
    <row r="63" spans="1:9" s="46" customFormat="1" ht="15.75">
      <c r="A63" s="60" t="s">
        <v>64</v>
      </c>
      <c r="B63" s="61"/>
      <c r="C63" s="61"/>
      <c r="D63" s="61"/>
      <c r="E63" s="61"/>
      <c r="F63" s="61"/>
      <c r="G63" s="61"/>
      <c r="H63" s="61"/>
      <c r="I63" s="61"/>
    </row>
    <row r="64" spans="1:9" ht="12.75" customHeight="1">
      <c r="A64" s="39"/>
      <c r="B64" s="38"/>
      <c r="C64" s="38"/>
      <c r="D64" s="38"/>
      <c r="E64" s="38"/>
      <c r="F64" s="38"/>
      <c r="G64" s="38"/>
      <c r="H64" s="38"/>
      <c r="I64" s="38"/>
    </row>
    <row r="65" spans="1:9" ht="12.75" customHeight="1">
      <c r="A65" s="39"/>
      <c r="B65" s="38"/>
      <c r="C65" s="38"/>
      <c r="D65" s="38"/>
      <c r="E65" s="38"/>
      <c r="F65" s="38"/>
      <c r="G65" s="38"/>
      <c r="H65" s="38"/>
      <c r="I65" s="38"/>
    </row>
    <row r="66" s="22" customFormat="1" ht="13.5" thickBot="1">
      <c r="A66" s="1" t="s">
        <v>38</v>
      </c>
    </row>
    <row r="67" spans="1:7" ht="33.75">
      <c r="A67" s="168" t="s">
        <v>31</v>
      </c>
      <c r="B67" s="169"/>
      <c r="C67" s="170"/>
      <c r="D67" s="87" t="s">
        <v>45</v>
      </c>
      <c r="E67" s="77" t="s">
        <v>17</v>
      </c>
      <c r="F67" s="88" t="s">
        <v>13</v>
      </c>
      <c r="G67" s="40"/>
    </row>
    <row r="68" spans="1:6" ht="12.75" customHeight="1">
      <c r="A68" s="109"/>
      <c r="B68" s="159" t="s">
        <v>18</v>
      </c>
      <c r="C68" s="160"/>
      <c r="D68" s="71">
        <f>IF(E68=0,0,SUMIF(xehet32!T:T,22,xehet32!R:R)/SUMIF(xehet32!T:T,22,xehet32!D:D))</f>
        <v>0</v>
      </c>
      <c r="E68" s="41">
        <f>COUNTIF(xehet32!T:T,22)</f>
        <v>0</v>
      </c>
      <c r="F68" s="89">
        <f>SUMIF(xehet32!T:T,22,xehet32!D:D)</f>
        <v>0</v>
      </c>
    </row>
    <row r="69" spans="1:6" ht="12.75" customHeight="1">
      <c r="A69" s="102"/>
      <c r="B69" s="161" t="s">
        <v>10</v>
      </c>
      <c r="C69" s="162"/>
      <c r="D69" s="71">
        <f>IF(E69=0,0,SUMIF(xehet32!T:T,26,xehet32!R:R)/SUMIF(xehet32!T:T,26,xehet32!D:D))</f>
        <v>0</v>
      </c>
      <c r="E69" s="41">
        <f>COUNTIF(xehet32!T:T,26)</f>
        <v>0</v>
      </c>
      <c r="F69" s="89">
        <f>SUMIF(xehet32!T:T,26,xehet32!D:D)</f>
        <v>0</v>
      </c>
    </row>
    <row r="70" spans="1:6" ht="12.75" customHeight="1">
      <c r="A70" s="108"/>
      <c r="B70" s="171" t="s">
        <v>20</v>
      </c>
      <c r="C70" s="172"/>
      <c r="D70" s="71">
        <f>IF(E70=0,0,SUMIF(xehet32!T:T,29,xehet32!R:R)/SUMIF(xehet32!T:T,29,xehet32!D:D))</f>
        <v>0</v>
      </c>
      <c r="E70" s="41">
        <f>COUNTIF(xehet32!T:T,29)</f>
        <v>0</v>
      </c>
      <c r="F70" s="89">
        <f>SUMIF(xehet32!T:T,29,xehet32!D:D)</f>
        <v>0</v>
      </c>
    </row>
    <row r="71" spans="1:6" ht="12.75" customHeight="1" thickBot="1">
      <c r="A71" s="173" t="s">
        <v>11</v>
      </c>
      <c r="B71" s="174"/>
      <c r="C71" s="175"/>
      <c r="D71" s="90">
        <f>IF(F71=0,0,(D68*F68+D69*F69+D70*F70)/F71)</f>
        <v>0</v>
      </c>
      <c r="E71" s="83">
        <f>SUM(E68:E70)</f>
        <v>0</v>
      </c>
      <c r="F71" s="91">
        <f>SUM(F68:F70)</f>
        <v>0</v>
      </c>
    </row>
    <row r="72" spans="4:6" ht="12.75" customHeight="1">
      <c r="D72" s="76">
        <f>IF(D73=0,0,(SUMIF(xehet32!O:O,"&gt;90",xehet32!R:R)/SUMIF(xehet32!O:O,"&gt;90",xehet32!D:D)))-IF(D71="",0,D71)</f>
        <v>0</v>
      </c>
      <c r="E72" s="76">
        <f>COUNTIF(xehet32!O:O,"&gt;90")-E71</f>
        <v>0</v>
      </c>
      <c r="F72" s="76">
        <f>SUMIF(xehet32!O:O,"&gt;90",xehet32!D:D)-F71</f>
        <v>0</v>
      </c>
    </row>
    <row r="73" spans="4:6" ht="12.75" customHeight="1">
      <c r="D73" s="117">
        <f>SUMIF(xehet32!O:O,"&gt;90",xehet32!D:D)</f>
        <v>0</v>
      </c>
      <c r="E73" s="38"/>
      <c r="F73" s="38"/>
    </row>
    <row r="74" s="22" customFormat="1" ht="13.5" thickBot="1">
      <c r="A74" s="1" t="s">
        <v>47</v>
      </c>
    </row>
    <row r="75" spans="1:7" ht="12.75" customHeight="1">
      <c r="A75" s="168" t="s">
        <v>48</v>
      </c>
      <c r="B75" s="169"/>
      <c r="C75" s="170"/>
      <c r="D75" s="138" t="s">
        <v>65</v>
      </c>
      <c r="E75" s="139"/>
      <c r="F75" s="139"/>
      <c r="G75" s="140"/>
    </row>
    <row r="76" spans="1:7" ht="12.75" customHeight="1">
      <c r="A76" s="176"/>
      <c r="B76" s="177"/>
      <c r="C76" s="178"/>
      <c r="D76" s="64" t="s">
        <v>58</v>
      </c>
      <c r="E76" s="26" t="s">
        <v>59</v>
      </c>
      <c r="F76" s="26" t="s">
        <v>13</v>
      </c>
      <c r="G76" s="78" t="s">
        <v>59</v>
      </c>
    </row>
    <row r="77" spans="1:7" ht="12.75" customHeight="1">
      <c r="A77" s="109"/>
      <c r="B77" s="159" t="s">
        <v>39</v>
      </c>
      <c r="C77" s="160"/>
      <c r="D77" s="43">
        <f>COUNTIF(xehet32!O:O,"&lt;=30")</f>
        <v>28</v>
      </c>
      <c r="E77" s="44">
        <f>IF($D$81=0,0,D77*100/$D$81)</f>
        <v>100</v>
      </c>
      <c r="F77" s="30">
        <f>SUMIF(xehet32!O:O,"&lt;=30",xehet32!D:D)</f>
        <v>32809.08</v>
      </c>
      <c r="G77" s="92">
        <f>IF($F$81=0,0,F77*100/$F$81)</f>
        <v>100</v>
      </c>
    </row>
    <row r="78" spans="1:7" ht="12.75" customHeight="1">
      <c r="A78" s="102"/>
      <c r="B78" s="161" t="s">
        <v>40</v>
      </c>
      <c r="C78" s="162"/>
      <c r="D78" s="43">
        <f>COUNTIF(xehet32!O:O,"&lt;=60")-D77</f>
        <v>0</v>
      </c>
      <c r="E78" s="44">
        <f>IF($D$81=0,0,D78*100/$D$81)</f>
        <v>0</v>
      </c>
      <c r="F78" s="30">
        <f>SUMIF(xehet32!O:O,"&lt;=60",xehet32!D:D)-F77</f>
        <v>0</v>
      </c>
      <c r="G78" s="92">
        <f>IF($F$81=0,0,F78*100/$F$81)</f>
        <v>0</v>
      </c>
    </row>
    <row r="79" spans="1:7" ht="12.75" customHeight="1">
      <c r="A79" s="102"/>
      <c r="B79" s="163" t="s">
        <v>41</v>
      </c>
      <c r="C79" s="164"/>
      <c r="D79" s="43">
        <f>COUNTIF(xehet32!O:O,"&lt;=90")-SUM(D77:D78)</f>
        <v>0</v>
      </c>
      <c r="E79" s="44">
        <f>IF($D$81=0,0,D79*100/$D$81)</f>
        <v>0</v>
      </c>
      <c r="F79" s="30">
        <f>SUMIF(xehet32!O:O,"&lt;=90",xehet32!D:D)-SUM(F77:F78)</f>
        <v>0</v>
      </c>
      <c r="G79" s="92">
        <f>IF($F$81=0,0,F79*100/$F$81)</f>
        <v>0</v>
      </c>
    </row>
    <row r="80" spans="1:7" ht="12.75" customHeight="1">
      <c r="A80" s="102"/>
      <c r="B80" s="163" t="s">
        <v>42</v>
      </c>
      <c r="C80" s="164"/>
      <c r="D80" s="43">
        <f>COUNTIF(xehet32!O:O,"&gt;90")</f>
        <v>0</v>
      </c>
      <c r="E80" s="44">
        <f>IF($D$81=0,0,D80*100/$D$81)</f>
        <v>0</v>
      </c>
      <c r="F80" s="30">
        <f>SUMIF(xehet32!O:O,"&gt;90",xehet32!D:D)</f>
        <v>0</v>
      </c>
      <c r="G80" s="92">
        <f>IF($F$81=0,0,F80*100/$F$81)</f>
        <v>0</v>
      </c>
    </row>
    <row r="81" spans="1:7" ht="12.75" customHeight="1" thickBot="1">
      <c r="A81" s="143" t="s">
        <v>11</v>
      </c>
      <c r="B81" s="144"/>
      <c r="C81" s="145"/>
      <c r="D81" s="81">
        <f>SUM(D77:D80)</f>
        <v>28</v>
      </c>
      <c r="E81" s="93">
        <f>SUM(E77:E80)</f>
        <v>100</v>
      </c>
      <c r="F81" s="82">
        <f>SUM(F77:F80)</f>
        <v>32809.08</v>
      </c>
      <c r="G81" s="94">
        <f>SUM(G77:G80)</f>
        <v>100</v>
      </c>
    </row>
    <row r="82" spans="1:7" ht="12.75" customHeight="1">
      <c r="A82" s="37"/>
      <c r="B82" s="37"/>
      <c r="C82" s="37"/>
      <c r="D82" s="76">
        <f>COUNT(xehet32!D:D)-D81</f>
        <v>0</v>
      </c>
      <c r="E82" s="76"/>
      <c r="F82" s="76">
        <f>SUM(xehet32!D:D)-F81</f>
        <v>0</v>
      </c>
      <c r="G82" s="38"/>
    </row>
    <row r="83" spans="1:7" ht="12.75" customHeight="1">
      <c r="A83" s="37"/>
      <c r="B83" s="37"/>
      <c r="C83" s="37"/>
      <c r="D83" s="76">
        <f>E71-D80</f>
        <v>0</v>
      </c>
      <c r="E83" s="76"/>
      <c r="F83" s="76">
        <f>F71-F80</f>
        <v>0</v>
      </c>
      <c r="G83" s="38"/>
    </row>
    <row r="84" spans="1:7" ht="12.75" customHeight="1">
      <c r="A84" s="37"/>
      <c r="B84" s="37"/>
      <c r="C84" s="37"/>
      <c r="D84" s="23"/>
      <c r="E84" s="23"/>
      <c r="F84" s="38"/>
      <c r="G84" s="38"/>
    </row>
    <row r="85" spans="1:5" s="46" customFormat="1" ht="15.75">
      <c r="A85" s="60" t="s">
        <v>49</v>
      </c>
      <c r="B85" s="62"/>
      <c r="C85" s="62"/>
      <c r="D85" s="63"/>
      <c r="E85" s="63"/>
    </row>
    <row r="86" spans="1:5" ht="12.75" customHeight="1">
      <c r="A86" s="39"/>
      <c r="B86" s="37"/>
      <c r="C86" s="37"/>
      <c r="D86" s="23"/>
      <c r="E86" s="23"/>
    </row>
    <row r="87" ht="12.75" customHeight="1" thickBot="1"/>
    <row r="88" spans="1:8" ht="12.75" customHeight="1">
      <c r="A88" s="146" t="s">
        <v>51</v>
      </c>
      <c r="B88" s="147"/>
      <c r="C88" s="148"/>
      <c r="D88" s="157" t="s">
        <v>53</v>
      </c>
      <c r="E88" s="158"/>
      <c r="F88" s="157" t="s">
        <v>54</v>
      </c>
      <c r="G88" s="158"/>
      <c r="H88" s="152" t="s">
        <v>50</v>
      </c>
    </row>
    <row r="89" spans="1:8" ht="12.75" customHeight="1">
      <c r="A89" s="149"/>
      <c r="B89" s="150"/>
      <c r="C89" s="151"/>
      <c r="D89" s="72" t="s">
        <v>52</v>
      </c>
      <c r="E89" s="73" t="s">
        <v>44</v>
      </c>
      <c r="F89" s="72" t="s">
        <v>52</v>
      </c>
      <c r="G89" s="73" t="s">
        <v>44</v>
      </c>
      <c r="H89" s="153"/>
    </row>
    <row r="90" spans="1:8" ht="12.75" customHeight="1" thickBot="1">
      <c r="A90" s="154" t="str">
        <f>D3</f>
        <v>OARSOALDEA</v>
      </c>
      <c r="B90" s="155"/>
      <c r="C90" s="156"/>
      <c r="D90" s="95">
        <f>IF((SUM(xehet1!D:D)+G24+I24)=0,0,(SUM(xehet1!T:T)+D24*(G24+I24))/(SUM(xehet1!D:D)+G24+I24))</f>
        <v>0</v>
      </c>
      <c r="E90" s="96">
        <f>SUM(xehet1!D:D)+G24+I24</f>
        <v>155267.08999999997</v>
      </c>
      <c r="F90" s="95">
        <f>IF((SUM(xehet2!D:D)+G56+I56)=0,0,(SUM(xehet2!T:T)+D56*(G56+I56))/(SUM(xehet2!D:D)+G56+I56))</f>
        <v>0</v>
      </c>
      <c r="G90" s="96">
        <f>SUM(xehet2!D:D)+G56+I56</f>
        <v>0</v>
      </c>
      <c r="H90" s="97">
        <f>IF(E90=0,F90,IF(G90=0,D90,(D90*E90+F90*G90)/(E90+G90)))</f>
        <v>0</v>
      </c>
    </row>
    <row r="91" spans="4:8" ht="12.75" customHeight="1">
      <c r="D91" s="35"/>
      <c r="E91" s="119">
        <f>E90-F38</f>
        <v>65.86999999999534</v>
      </c>
      <c r="F91" s="119"/>
      <c r="G91" s="119">
        <f>G90-G58-I58-F81</f>
        <v>-32809.08</v>
      </c>
      <c r="H91" s="119">
        <f>IF(H92=0,0,(SUM(xehet1!U:U)+SUM(xehet2!U:U)+SUM(xehet32!S:S)+D24*(G24+I24)+D56*(G56+I56))/(SUM(xehet1!D:D)+SUM(xehet2!D:D)+SUM(xehet32!D:D)+G24+I24+G56+I56))-IF(H90="",0,H90)</f>
        <v>-18.306109912808203</v>
      </c>
    </row>
    <row r="92" spans="1:8" ht="12.75" customHeight="1" thickBot="1">
      <c r="A92" s="6" t="s">
        <v>55</v>
      </c>
      <c r="E92" s="38"/>
      <c r="F92" s="38"/>
      <c r="G92" s="38"/>
      <c r="H92" s="118">
        <f>(SUM(xehet1!D:D)+SUM(xehet2!D:D)+SUM(xehet32!D:D)+G24+I24+G56+I56)</f>
        <v>188076.16999999998</v>
      </c>
    </row>
    <row r="93" spans="2:8" ht="43.5" customHeight="1" thickBot="1">
      <c r="B93" s="141"/>
      <c r="C93" s="142"/>
      <c r="E93" s="38"/>
      <c r="F93" s="38"/>
      <c r="G93" s="38"/>
      <c r="H93" s="38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  <mergeCell ref="A31:C32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45:C47"/>
    <mergeCell ref="D45:E45"/>
    <mergeCell ref="A48:C48"/>
    <mergeCell ref="A54:C54"/>
    <mergeCell ref="A56:C56"/>
    <mergeCell ref="B57:C57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 D90 F90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Y218"/>
  <sheetViews>
    <sheetView zoomScalePageLayoutView="0" workbookViewId="0" topLeftCell="A1">
      <pane ySplit="5" topLeftCell="A20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3.7109375" style="3" customWidth="1"/>
    <col min="2" max="2" width="10.140625" style="18" bestFit="1" customWidth="1"/>
    <col min="3" max="3" width="19.28125" style="3" bestFit="1" customWidth="1"/>
    <col min="4" max="4" width="11.140625" style="10" bestFit="1" customWidth="1"/>
    <col min="5" max="5" width="7.421875" style="3" bestFit="1" customWidth="1"/>
    <col min="6" max="6" width="11.28125" style="3" customWidth="1"/>
    <col min="7" max="7" width="18.28125" style="3" customWidth="1"/>
    <col min="8" max="8" width="7.421875" style="3" customWidth="1"/>
    <col min="9" max="9" width="7.00390625" style="3" customWidth="1"/>
    <col min="10" max="10" width="17.00390625" style="3" bestFit="1" customWidth="1"/>
    <col min="11" max="11" width="10.140625" style="18" bestFit="1" customWidth="1"/>
    <col min="12" max="12" width="9.00390625" style="18" bestFit="1" customWidth="1"/>
    <col min="13" max="13" width="13.57421875" style="18" bestFit="1" customWidth="1"/>
    <col min="14" max="14" width="20.421875" style="18" customWidth="1"/>
    <col min="15" max="15" width="7.140625" style="13" bestFit="1" customWidth="1"/>
    <col min="16" max="16" width="7.140625" style="13" customWidth="1"/>
    <col min="17" max="17" width="7.140625" style="13" bestFit="1" customWidth="1"/>
    <col min="18" max="18" width="7.57421875" style="13" customWidth="1"/>
    <col min="19" max="19" width="3.8515625" style="3" bestFit="1" customWidth="1"/>
    <col min="20" max="20" width="13.00390625" style="10" bestFit="1" customWidth="1"/>
    <col min="21" max="21" width="14.57421875" style="10" bestFit="1" customWidth="1"/>
    <col min="22" max="16384" width="9.140625" style="3" customWidth="1"/>
  </cols>
  <sheetData>
    <row r="2" spans="13:14" ht="11.25">
      <c r="M2" s="211" t="s">
        <v>99</v>
      </c>
      <c r="N2" s="212"/>
    </row>
    <row r="3" spans="1:13" ht="11.25">
      <c r="A3" s="5" t="s">
        <v>69</v>
      </c>
      <c r="B3" s="20"/>
      <c r="C3" s="6"/>
      <c r="D3" s="9"/>
      <c r="E3" s="6"/>
      <c r="F3" s="6"/>
      <c r="G3" s="6"/>
      <c r="H3" s="6"/>
      <c r="I3" s="6"/>
      <c r="J3" s="6"/>
      <c r="M3" s="133" t="s">
        <v>100</v>
      </c>
    </row>
    <row r="4" spans="13:14" ht="11.25">
      <c r="M4" s="133" t="s">
        <v>101</v>
      </c>
      <c r="N4" s="133" t="s">
        <v>102</v>
      </c>
    </row>
    <row r="5" spans="1:22" ht="22.5">
      <c r="A5" s="7" t="s">
        <v>75</v>
      </c>
      <c r="B5" s="21" t="s">
        <v>70</v>
      </c>
      <c r="C5" s="8" t="s">
        <v>85</v>
      </c>
      <c r="D5" s="11" t="s">
        <v>44</v>
      </c>
      <c r="E5" s="7" t="s">
        <v>84</v>
      </c>
      <c r="F5" s="8" t="s">
        <v>71</v>
      </c>
      <c r="G5" s="8" t="s">
        <v>72</v>
      </c>
      <c r="H5" s="8" t="s">
        <v>82</v>
      </c>
      <c r="I5" s="8" t="s">
        <v>83</v>
      </c>
      <c r="J5" s="8" t="s">
        <v>73</v>
      </c>
      <c r="K5" s="19" t="s">
        <v>74</v>
      </c>
      <c r="L5" s="19" t="s">
        <v>76</v>
      </c>
      <c r="M5" s="19" t="s">
        <v>91</v>
      </c>
      <c r="N5" s="19" t="s">
        <v>92</v>
      </c>
      <c r="O5" s="14" t="s">
        <v>77</v>
      </c>
      <c r="P5" s="15" t="s">
        <v>78</v>
      </c>
      <c r="Q5" s="16" t="s">
        <v>79</v>
      </c>
      <c r="R5" s="17" t="s">
        <v>50</v>
      </c>
      <c r="S5" s="3" t="s">
        <v>93</v>
      </c>
      <c r="T5" s="10" t="s">
        <v>94</v>
      </c>
      <c r="U5" s="10" t="s">
        <v>95</v>
      </c>
      <c r="V5" s="3" t="s">
        <v>96</v>
      </c>
    </row>
    <row r="6" spans="1:25" ht="12.75">
      <c r="A6" s="120" t="s">
        <v>112</v>
      </c>
      <c r="B6" s="121">
        <v>43312</v>
      </c>
      <c r="C6" s="120" t="s">
        <v>353</v>
      </c>
      <c r="D6" s="135">
        <v>4320</v>
      </c>
      <c r="J6" s="122"/>
      <c r="K6" s="121">
        <v>43312</v>
      </c>
      <c r="M6" s="121">
        <v>43312</v>
      </c>
      <c r="N6" s="121">
        <v>43312</v>
      </c>
      <c r="O6" s="123">
        <f>+K6-M6</f>
        <v>0</v>
      </c>
      <c r="P6" s="123">
        <f>+N6-M6</f>
        <v>0</v>
      </c>
      <c r="Q6" s="123">
        <f>+N6-K6</f>
        <v>0</v>
      </c>
      <c r="R6" s="123">
        <f>+Q6-30</f>
        <v>-30</v>
      </c>
      <c r="S6" s="124">
        <v>29</v>
      </c>
      <c r="T6" s="125">
        <f>+P6*D6</f>
        <v>0</v>
      </c>
      <c r="U6" s="125">
        <f>+R6*D6</f>
        <v>-129600</v>
      </c>
      <c r="V6" s="126">
        <f>IF(P6&gt;30,200+S6,100+S6)</f>
        <v>129</v>
      </c>
      <c r="Y6" s="10"/>
    </row>
    <row r="7" spans="1:25" ht="12.75">
      <c r="A7" s="120" t="s">
        <v>113</v>
      </c>
      <c r="B7" s="121">
        <v>43283</v>
      </c>
      <c r="C7" s="120" t="s">
        <v>354</v>
      </c>
      <c r="D7" s="135">
        <v>545.58</v>
      </c>
      <c r="J7" s="122"/>
      <c r="K7" s="121">
        <v>43283</v>
      </c>
      <c r="M7" s="121">
        <v>43291</v>
      </c>
      <c r="N7" s="121">
        <v>43291</v>
      </c>
      <c r="O7" s="123">
        <f aca="true" t="shared" si="0" ref="O7:O70">+K7-M7</f>
        <v>-8</v>
      </c>
      <c r="P7" s="123">
        <f aca="true" t="shared" si="1" ref="P7:P70">+N7-M7</f>
        <v>0</v>
      </c>
      <c r="Q7" s="123">
        <f>+N7-K7</f>
        <v>8</v>
      </c>
      <c r="R7" s="123">
        <f aca="true" t="shared" si="2" ref="R7:R70">+Q7-30</f>
        <v>-22</v>
      </c>
      <c r="S7" s="124">
        <v>29</v>
      </c>
      <c r="T7" s="125">
        <f aca="true" t="shared" si="3" ref="T7:T70">+P7*D7</f>
        <v>0</v>
      </c>
      <c r="U7" s="125">
        <f aca="true" t="shared" si="4" ref="U7:U70">+R7*D7</f>
        <v>-12002.76</v>
      </c>
      <c r="V7" s="126">
        <f aca="true" t="shared" si="5" ref="V7:V70">IF(P7&gt;30,200+S7,100+S7)</f>
        <v>129</v>
      </c>
      <c r="Y7" s="10"/>
    </row>
    <row r="8" spans="1:25" ht="12.75">
      <c r="A8" s="120" t="s">
        <v>114</v>
      </c>
      <c r="B8" s="121">
        <v>43283</v>
      </c>
      <c r="C8" s="120" t="s">
        <v>355</v>
      </c>
      <c r="D8" s="135">
        <v>528.3</v>
      </c>
      <c r="K8" s="121">
        <v>43283</v>
      </c>
      <c r="M8" s="121">
        <v>43291</v>
      </c>
      <c r="N8" s="121">
        <v>43291</v>
      </c>
      <c r="O8" s="123">
        <f t="shared" si="0"/>
        <v>-8</v>
      </c>
      <c r="P8" s="123">
        <f t="shared" si="1"/>
        <v>0</v>
      </c>
      <c r="Q8" s="123">
        <f>+N8-K8</f>
        <v>8</v>
      </c>
      <c r="R8" s="123">
        <f t="shared" si="2"/>
        <v>-22</v>
      </c>
      <c r="S8" s="124">
        <v>29</v>
      </c>
      <c r="T8" s="125">
        <f t="shared" si="3"/>
        <v>0</v>
      </c>
      <c r="U8" s="125">
        <f t="shared" si="4"/>
        <v>-11622.599999999999</v>
      </c>
      <c r="V8" s="126">
        <f t="shared" si="5"/>
        <v>129</v>
      </c>
      <c r="Y8" s="10"/>
    </row>
    <row r="9" spans="1:25" ht="12.75">
      <c r="A9" s="120" t="s">
        <v>115</v>
      </c>
      <c r="B9" s="121">
        <v>43283</v>
      </c>
      <c r="C9" s="120" t="s">
        <v>356</v>
      </c>
      <c r="D9" s="135">
        <v>40.14</v>
      </c>
      <c r="K9" s="121">
        <v>43304</v>
      </c>
      <c r="M9" s="121">
        <v>43298</v>
      </c>
      <c r="N9" s="121">
        <v>43298</v>
      </c>
      <c r="O9" s="123">
        <f t="shared" si="0"/>
        <v>6</v>
      </c>
      <c r="P9" s="123">
        <f t="shared" si="1"/>
        <v>0</v>
      </c>
      <c r="Q9" s="123">
        <f>+N9-K9</f>
        <v>-6</v>
      </c>
      <c r="R9" s="123">
        <f t="shared" si="2"/>
        <v>-36</v>
      </c>
      <c r="S9" s="124">
        <v>29</v>
      </c>
      <c r="T9" s="125">
        <f t="shared" si="3"/>
        <v>0</v>
      </c>
      <c r="U9" s="125">
        <f t="shared" si="4"/>
        <v>-1445.04</v>
      </c>
      <c r="V9" s="126">
        <f t="shared" si="5"/>
        <v>129</v>
      </c>
      <c r="Y9" s="10"/>
    </row>
    <row r="10" spans="1:25" ht="12.75">
      <c r="A10" s="120" t="s">
        <v>116</v>
      </c>
      <c r="B10" s="121">
        <v>43287</v>
      </c>
      <c r="C10" s="120" t="s">
        <v>357</v>
      </c>
      <c r="D10" s="135">
        <v>250</v>
      </c>
      <c r="K10" s="121">
        <v>43304</v>
      </c>
      <c r="M10" s="121">
        <v>43308</v>
      </c>
      <c r="N10" s="121">
        <v>43308</v>
      </c>
      <c r="O10" s="123">
        <f t="shared" si="0"/>
        <v>-4</v>
      </c>
      <c r="P10" s="123">
        <f t="shared" si="1"/>
        <v>0</v>
      </c>
      <c r="Q10" s="123">
        <f aca="true" t="shared" si="6" ref="Q10:Q28">+N10-K10</f>
        <v>4</v>
      </c>
      <c r="R10" s="123">
        <f t="shared" si="2"/>
        <v>-26</v>
      </c>
      <c r="S10" s="124">
        <v>29</v>
      </c>
      <c r="T10" s="125">
        <f t="shared" si="3"/>
        <v>0</v>
      </c>
      <c r="U10" s="125">
        <f t="shared" si="4"/>
        <v>-6500</v>
      </c>
      <c r="V10" s="126">
        <f t="shared" si="5"/>
        <v>129</v>
      </c>
      <c r="Y10" s="10"/>
    </row>
    <row r="11" spans="1:25" ht="12.75">
      <c r="A11" s="120" t="s">
        <v>117</v>
      </c>
      <c r="B11" s="121">
        <v>43290</v>
      </c>
      <c r="C11" s="120" t="s">
        <v>358</v>
      </c>
      <c r="D11" s="135">
        <v>59.96</v>
      </c>
      <c r="E11" s="128"/>
      <c r="F11" s="129"/>
      <c r="G11" s="130"/>
      <c r="H11" s="130"/>
      <c r="K11" s="121">
        <v>43304</v>
      </c>
      <c r="M11" s="121">
        <v>43308</v>
      </c>
      <c r="N11" s="121">
        <v>43308</v>
      </c>
      <c r="O11" s="123">
        <f t="shared" si="0"/>
        <v>-4</v>
      </c>
      <c r="P11" s="123">
        <f t="shared" si="1"/>
        <v>0</v>
      </c>
      <c r="Q11" s="123">
        <f t="shared" si="6"/>
        <v>4</v>
      </c>
      <c r="R11" s="123">
        <f t="shared" si="2"/>
        <v>-26</v>
      </c>
      <c r="S11" s="124">
        <v>29</v>
      </c>
      <c r="T11" s="125">
        <f t="shared" si="3"/>
        <v>0</v>
      </c>
      <c r="U11" s="125">
        <f t="shared" si="4"/>
        <v>-1558.96</v>
      </c>
      <c r="V11" s="126">
        <f t="shared" si="5"/>
        <v>129</v>
      </c>
      <c r="Y11" s="10"/>
    </row>
    <row r="12" spans="1:25" ht="12.75">
      <c r="A12" s="120" t="s">
        <v>118</v>
      </c>
      <c r="B12" s="121">
        <v>43291</v>
      </c>
      <c r="C12" s="120" t="s">
        <v>359</v>
      </c>
      <c r="D12" s="135">
        <v>4526.37</v>
      </c>
      <c r="E12" s="128"/>
      <c r="F12" s="129"/>
      <c r="G12" s="129"/>
      <c r="H12" s="129"/>
      <c r="K12" s="121">
        <v>43304</v>
      </c>
      <c r="M12" s="121">
        <v>43308</v>
      </c>
      <c r="N12" s="121">
        <v>43308</v>
      </c>
      <c r="O12" s="123">
        <f t="shared" si="0"/>
        <v>-4</v>
      </c>
      <c r="P12" s="123">
        <f t="shared" si="1"/>
        <v>0</v>
      </c>
      <c r="Q12" s="123">
        <f t="shared" si="6"/>
        <v>4</v>
      </c>
      <c r="R12" s="123">
        <f t="shared" si="2"/>
        <v>-26</v>
      </c>
      <c r="S12" s="124">
        <v>29</v>
      </c>
      <c r="T12" s="125">
        <f t="shared" si="3"/>
        <v>0</v>
      </c>
      <c r="U12" s="125">
        <f t="shared" si="4"/>
        <v>-117685.62</v>
      </c>
      <c r="V12" s="126">
        <f t="shared" si="5"/>
        <v>129</v>
      </c>
      <c r="Y12" s="10"/>
    </row>
    <row r="13" spans="1:25" ht="12.75">
      <c r="A13" s="120" t="s">
        <v>119</v>
      </c>
      <c r="B13" s="121">
        <v>43283</v>
      </c>
      <c r="C13" s="120" t="s">
        <v>360</v>
      </c>
      <c r="D13" s="135">
        <v>4899.99</v>
      </c>
      <c r="E13" s="128"/>
      <c r="F13" s="131"/>
      <c r="K13" s="121">
        <v>43294</v>
      </c>
      <c r="M13" s="121">
        <v>43294</v>
      </c>
      <c r="N13" s="121">
        <v>43294</v>
      </c>
      <c r="O13" s="123">
        <f t="shared" si="0"/>
        <v>0</v>
      </c>
      <c r="P13" s="123">
        <f t="shared" si="1"/>
        <v>0</v>
      </c>
      <c r="Q13" s="123">
        <f t="shared" si="6"/>
        <v>0</v>
      </c>
      <c r="R13" s="123">
        <f t="shared" si="2"/>
        <v>-30</v>
      </c>
      <c r="S13" s="124">
        <v>29</v>
      </c>
      <c r="T13" s="125">
        <f t="shared" si="3"/>
        <v>0</v>
      </c>
      <c r="U13" s="125">
        <f t="shared" si="4"/>
        <v>-146999.69999999998</v>
      </c>
      <c r="V13" s="126">
        <f t="shared" si="5"/>
        <v>129</v>
      </c>
      <c r="Y13" s="10"/>
    </row>
    <row r="14" spans="1:25" ht="12.75">
      <c r="A14" s="120" t="s">
        <v>120</v>
      </c>
      <c r="B14" s="121">
        <v>43287</v>
      </c>
      <c r="C14" s="120" t="s">
        <v>361</v>
      </c>
      <c r="D14" s="135">
        <v>954</v>
      </c>
      <c r="E14" s="128"/>
      <c r="F14" s="131"/>
      <c r="K14" s="121">
        <v>43294</v>
      </c>
      <c r="M14" s="121">
        <v>43294</v>
      </c>
      <c r="N14" s="121">
        <v>43294</v>
      </c>
      <c r="O14" s="123">
        <f t="shared" si="0"/>
        <v>0</v>
      </c>
      <c r="P14" s="123">
        <f t="shared" si="1"/>
        <v>0</v>
      </c>
      <c r="Q14" s="123">
        <f t="shared" si="6"/>
        <v>0</v>
      </c>
      <c r="R14" s="123">
        <f t="shared" si="2"/>
        <v>-30</v>
      </c>
      <c r="S14" s="124">
        <v>29</v>
      </c>
      <c r="T14" s="125">
        <f t="shared" si="3"/>
        <v>0</v>
      </c>
      <c r="U14" s="125">
        <f t="shared" si="4"/>
        <v>-28620</v>
      </c>
      <c r="V14" s="126">
        <f t="shared" si="5"/>
        <v>129</v>
      </c>
      <c r="Y14" s="10"/>
    </row>
    <row r="15" spans="1:25" ht="12.75">
      <c r="A15" s="120" t="s">
        <v>121</v>
      </c>
      <c r="B15" s="121">
        <v>43283</v>
      </c>
      <c r="C15" s="120" t="s">
        <v>362</v>
      </c>
      <c r="D15" s="135">
        <v>61.41</v>
      </c>
      <c r="E15" s="128"/>
      <c r="F15" s="131"/>
      <c r="K15" s="121">
        <v>43283</v>
      </c>
      <c r="M15" s="121">
        <v>43286</v>
      </c>
      <c r="N15" s="121">
        <v>43286</v>
      </c>
      <c r="O15" s="123">
        <f t="shared" si="0"/>
        <v>-3</v>
      </c>
      <c r="P15" s="123">
        <f t="shared" si="1"/>
        <v>0</v>
      </c>
      <c r="Q15" s="123">
        <f t="shared" si="6"/>
        <v>3</v>
      </c>
      <c r="R15" s="123">
        <f t="shared" si="2"/>
        <v>-27</v>
      </c>
      <c r="S15" s="124">
        <v>20</v>
      </c>
      <c r="T15" s="125">
        <f t="shared" si="3"/>
        <v>0</v>
      </c>
      <c r="U15" s="125">
        <f t="shared" si="4"/>
        <v>-1658.07</v>
      </c>
      <c r="V15" s="126">
        <f t="shared" si="5"/>
        <v>120</v>
      </c>
      <c r="Y15" s="10"/>
    </row>
    <row r="16" spans="1:25" ht="12.75">
      <c r="A16" s="120" t="s">
        <v>122</v>
      </c>
      <c r="B16" s="121">
        <v>43283</v>
      </c>
      <c r="C16" s="120" t="s">
        <v>363</v>
      </c>
      <c r="D16" s="135">
        <v>28.6</v>
      </c>
      <c r="E16" s="128"/>
      <c r="F16" s="131"/>
      <c r="K16" s="121">
        <v>43283</v>
      </c>
      <c r="M16" s="121">
        <v>43286</v>
      </c>
      <c r="N16" s="121">
        <v>43286</v>
      </c>
      <c r="O16" s="123">
        <f t="shared" si="0"/>
        <v>-3</v>
      </c>
      <c r="P16" s="123">
        <f t="shared" si="1"/>
        <v>0</v>
      </c>
      <c r="Q16" s="123">
        <f t="shared" si="6"/>
        <v>3</v>
      </c>
      <c r="R16" s="123">
        <f t="shared" si="2"/>
        <v>-27</v>
      </c>
      <c r="S16" s="124">
        <v>20</v>
      </c>
      <c r="T16" s="125">
        <f t="shared" si="3"/>
        <v>0</v>
      </c>
      <c r="U16" s="125">
        <f t="shared" si="4"/>
        <v>-772.2</v>
      </c>
      <c r="V16" s="126">
        <f t="shared" si="5"/>
        <v>120</v>
      </c>
      <c r="Y16" s="10"/>
    </row>
    <row r="17" spans="1:25" ht="12.75">
      <c r="A17" s="120" t="s">
        <v>123</v>
      </c>
      <c r="B17" s="121">
        <v>43283</v>
      </c>
      <c r="C17" s="120" t="s">
        <v>364</v>
      </c>
      <c r="D17" s="135">
        <v>217.8</v>
      </c>
      <c r="E17" s="128"/>
      <c r="F17" s="131"/>
      <c r="K17" s="121">
        <v>43283</v>
      </c>
      <c r="M17" s="121">
        <v>43286</v>
      </c>
      <c r="N17" s="121">
        <v>43286</v>
      </c>
      <c r="O17" s="123">
        <f t="shared" si="0"/>
        <v>-3</v>
      </c>
      <c r="P17" s="123">
        <f t="shared" si="1"/>
        <v>0</v>
      </c>
      <c r="Q17" s="123">
        <f t="shared" si="6"/>
        <v>3</v>
      </c>
      <c r="R17" s="123">
        <f t="shared" si="2"/>
        <v>-27</v>
      </c>
      <c r="S17" s="124">
        <v>20</v>
      </c>
      <c r="T17" s="125">
        <f t="shared" si="3"/>
        <v>0</v>
      </c>
      <c r="U17" s="125">
        <f t="shared" si="4"/>
        <v>-5880.6</v>
      </c>
      <c r="V17" s="126">
        <f t="shared" si="5"/>
        <v>120</v>
      </c>
      <c r="Y17" s="10"/>
    </row>
    <row r="18" spans="1:25" ht="12.75">
      <c r="A18" s="120" t="s">
        <v>124</v>
      </c>
      <c r="B18" s="121">
        <v>43304</v>
      </c>
      <c r="C18" s="120" t="s">
        <v>365</v>
      </c>
      <c r="D18" s="135">
        <v>65.34</v>
      </c>
      <c r="E18" s="128"/>
      <c r="F18" s="131"/>
      <c r="K18" s="121">
        <v>43306</v>
      </c>
      <c r="M18" s="121">
        <v>43340</v>
      </c>
      <c r="N18" s="121">
        <v>43340</v>
      </c>
      <c r="O18" s="123">
        <f t="shared" si="0"/>
        <v>-34</v>
      </c>
      <c r="P18" s="123">
        <f t="shared" si="1"/>
        <v>0</v>
      </c>
      <c r="Q18" s="123">
        <f t="shared" si="6"/>
        <v>34</v>
      </c>
      <c r="R18" s="123">
        <f t="shared" si="2"/>
        <v>4</v>
      </c>
      <c r="S18" s="124">
        <v>21</v>
      </c>
      <c r="T18" s="125">
        <f t="shared" si="3"/>
        <v>0</v>
      </c>
      <c r="U18" s="125">
        <f t="shared" si="4"/>
        <v>261.36</v>
      </c>
      <c r="V18" s="126">
        <f t="shared" si="5"/>
        <v>121</v>
      </c>
      <c r="Y18" s="10"/>
    </row>
    <row r="19" spans="1:25" ht="12.75">
      <c r="A19" s="120" t="s">
        <v>125</v>
      </c>
      <c r="B19" s="121">
        <v>43287</v>
      </c>
      <c r="C19" s="120" t="s">
        <v>366</v>
      </c>
      <c r="D19" s="135">
        <v>1966.26</v>
      </c>
      <c r="E19" s="128"/>
      <c r="F19" s="131"/>
      <c r="K19" s="121">
        <v>43306</v>
      </c>
      <c r="M19" s="121">
        <v>43308</v>
      </c>
      <c r="N19" s="121">
        <v>43308</v>
      </c>
      <c r="O19" s="123">
        <f t="shared" si="0"/>
        <v>-2</v>
      </c>
      <c r="P19" s="123">
        <f t="shared" si="1"/>
        <v>0</v>
      </c>
      <c r="Q19" s="123">
        <f t="shared" si="6"/>
        <v>2</v>
      </c>
      <c r="R19" s="123">
        <f t="shared" si="2"/>
        <v>-28</v>
      </c>
      <c r="S19" s="124">
        <v>29</v>
      </c>
      <c r="T19" s="125">
        <f t="shared" si="3"/>
        <v>0</v>
      </c>
      <c r="U19" s="125">
        <f t="shared" si="4"/>
        <v>-55055.28</v>
      </c>
      <c r="V19" s="126">
        <f t="shared" si="5"/>
        <v>129</v>
      </c>
      <c r="Y19" s="10"/>
    </row>
    <row r="20" spans="1:25" ht="12.75">
      <c r="A20" s="120" t="s">
        <v>126</v>
      </c>
      <c r="B20" s="121">
        <v>43287</v>
      </c>
      <c r="C20" s="120" t="s">
        <v>367</v>
      </c>
      <c r="D20" s="135">
        <v>951.06</v>
      </c>
      <c r="E20" s="128"/>
      <c r="F20" s="131"/>
      <c r="K20" s="121">
        <v>43306</v>
      </c>
      <c r="M20" s="121">
        <v>43308</v>
      </c>
      <c r="N20" s="121">
        <v>43308</v>
      </c>
      <c r="O20" s="123">
        <f t="shared" si="0"/>
        <v>-2</v>
      </c>
      <c r="P20" s="123">
        <f t="shared" si="1"/>
        <v>0</v>
      </c>
      <c r="Q20" s="123">
        <f t="shared" si="6"/>
        <v>2</v>
      </c>
      <c r="R20" s="123">
        <f t="shared" si="2"/>
        <v>-28</v>
      </c>
      <c r="S20" s="124">
        <v>29</v>
      </c>
      <c r="T20" s="125">
        <f t="shared" si="3"/>
        <v>0</v>
      </c>
      <c r="U20" s="125">
        <f t="shared" si="4"/>
        <v>-26629.68</v>
      </c>
      <c r="V20" s="126">
        <f t="shared" si="5"/>
        <v>129</v>
      </c>
      <c r="Y20" s="10"/>
    </row>
    <row r="21" spans="1:25" ht="12.75">
      <c r="A21" s="120" t="s">
        <v>127</v>
      </c>
      <c r="B21" s="121">
        <v>43297</v>
      </c>
      <c r="C21" s="120" t="s">
        <v>368</v>
      </c>
      <c r="D21" s="135">
        <v>159.39</v>
      </c>
      <c r="E21" s="128"/>
      <c r="F21" s="131"/>
      <c r="K21" s="121">
        <v>43306</v>
      </c>
      <c r="M21" s="121">
        <v>43308</v>
      </c>
      <c r="N21" s="121">
        <v>43308</v>
      </c>
      <c r="O21" s="123">
        <f t="shared" si="0"/>
        <v>-2</v>
      </c>
      <c r="P21" s="123">
        <f t="shared" si="1"/>
        <v>0</v>
      </c>
      <c r="Q21" s="123">
        <f t="shared" si="6"/>
        <v>2</v>
      </c>
      <c r="R21" s="123">
        <f t="shared" si="2"/>
        <v>-28</v>
      </c>
      <c r="S21" s="124">
        <v>20</v>
      </c>
      <c r="T21" s="125">
        <f t="shared" si="3"/>
        <v>0</v>
      </c>
      <c r="U21" s="125">
        <f t="shared" si="4"/>
        <v>-4462.92</v>
      </c>
      <c r="V21" s="126">
        <f t="shared" si="5"/>
        <v>120</v>
      </c>
      <c r="Y21" s="10"/>
    </row>
    <row r="22" spans="1:25" ht="12.75">
      <c r="A22" s="120" t="s">
        <v>128</v>
      </c>
      <c r="B22" s="121">
        <v>43294</v>
      </c>
      <c r="C22" s="120" t="s">
        <v>369</v>
      </c>
      <c r="D22" s="135">
        <v>630.62</v>
      </c>
      <c r="E22" s="128"/>
      <c r="F22" s="131"/>
      <c r="K22" s="121">
        <v>43306</v>
      </c>
      <c r="M22" s="121">
        <v>43308</v>
      </c>
      <c r="N22" s="121">
        <v>43308</v>
      </c>
      <c r="O22" s="123">
        <f t="shared" si="0"/>
        <v>-2</v>
      </c>
      <c r="P22" s="123">
        <f t="shared" si="1"/>
        <v>0</v>
      </c>
      <c r="Q22" s="123">
        <f t="shared" si="6"/>
        <v>2</v>
      </c>
      <c r="R22" s="123">
        <f t="shared" si="2"/>
        <v>-28</v>
      </c>
      <c r="S22" s="124">
        <v>20</v>
      </c>
      <c r="T22" s="125">
        <f t="shared" si="3"/>
        <v>0</v>
      </c>
      <c r="U22" s="125">
        <f t="shared" si="4"/>
        <v>-17657.36</v>
      </c>
      <c r="V22" s="126">
        <f t="shared" si="5"/>
        <v>120</v>
      </c>
      <c r="Y22" s="10"/>
    </row>
    <row r="23" spans="1:25" ht="12.75">
      <c r="A23" s="120" t="s">
        <v>129</v>
      </c>
      <c r="B23" s="121">
        <v>43294</v>
      </c>
      <c r="C23" s="120" t="s">
        <v>370</v>
      </c>
      <c r="D23" s="135">
        <v>2522.5</v>
      </c>
      <c r="E23" s="128"/>
      <c r="F23" s="131"/>
      <c r="K23" s="121">
        <v>43306</v>
      </c>
      <c r="M23" s="121">
        <v>43308</v>
      </c>
      <c r="N23" s="121">
        <v>43308</v>
      </c>
      <c r="O23" s="123">
        <f t="shared" si="0"/>
        <v>-2</v>
      </c>
      <c r="P23" s="123">
        <f t="shared" si="1"/>
        <v>0</v>
      </c>
      <c r="Q23" s="123">
        <f t="shared" si="6"/>
        <v>2</v>
      </c>
      <c r="R23" s="123">
        <f t="shared" si="2"/>
        <v>-28</v>
      </c>
      <c r="S23" s="124">
        <v>22</v>
      </c>
      <c r="T23" s="125">
        <f t="shared" si="3"/>
        <v>0</v>
      </c>
      <c r="U23" s="125">
        <f t="shared" si="4"/>
        <v>-70630</v>
      </c>
      <c r="V23" s="126">
        <f t="shared" si="5"/>
        <v>122</v>
      </c>
      <c r="Y23" s="10"/>
    </row>
    <row r="24" spans="1:25" ht="12.75">
      <c r="A24" s="120" t="s">
        <v>130</v>
      </c>
      <c r="B24" s="121">
        <v>43297</v>
      </c>
      <c r="C24" s="120" t="s">
        <v>371</v>
      </c>
      <c r="D24" s="135">
        <v>637.56</v>
      </c>
      <c r="E24" s="128"/>
      <c r="F24" s="131"/>
      <c r="K24" s="121">
        <v>43306</v>
      </c>
      <c r="M24" s="121">
        <v>43308</v>
      </c>
      <c r="N24" s="121">
        <v>43308</v>
      </c>
      <c r="O24" s="123">
        <f t="shared" si="0"/>
        <v>-2</v>
      </c>
      <c r="P24" s="123">
        <f t="shared" si="1"/>
        <v>0</v>
      </c>
      <c r="Q24" s="123">
        <f t="shared" si="6"/>
        <v>2</v>
      </c>
      <c r="R24" s="123">
        <f t="shared" si="2"/>
        <v>-28</v>
      </c>
      <c r="S24" s="124">
        <v>22</v>
      </c>
      <c r="T24" s="125">
        <f t="shared" si="3"/>
        <v>0</v>
      </c>
      <c r="U24" s="125">
        <f t="shared" si="4"/>
        <v>-17851.68</v>
      </c>
      <c r="V24" s="126">
        <f t="shared" si="5"/>
        <v>122</v>
      </c>
      <c r="Y24" s="10"/>
    </row>
    <row r="25" spans="1:25" ht="12.75">
      <c r="A25" s="120" t="s">
        <v>131</v>
      </c>
      <c r="B25" s="121">
        <v>43282</v>
      </c>
      <c r="C25" s="120" t="s">
        <v>372</v>
      </c>
      <c r="D25" s="135">
        <v>110.01</v>
      </c>
      <c r="E25" s="128"/>
      <c r="F25" s="131"/>
      <c r="K25" s="121">
        <v>43282</v>
      </c>
      <c r="M25" s="121">
        <v>43311</v>
      </c>
      <c r="N25" s="121">
        <v>43311</v>
      </c>
      <c r="O25" s="123">
        <f t="shared" si="0"/>
        <v>-29</v>
      </c>
      <c r="P25" s="123">
        <f t="shared" si="1"/>
        <v>0</v>
      </c>
      <c r="Q25" s="123">
        <f t="shared" si="6"/>
        <v>29</v>
      </c>
      <c r="R25" s="123">
        <f t="shared" si="2"/>
        <v>-1</v>
      </c>
      <c r="S25" s="124">
        <v>21</v>
      </c>
      <c r="T25" s="125">
        <f t="shared" si="3"/>
        <v>0</v>
      </c>
      <c r="U25" s="125">
        <f t="shared" si="4"/>
        <v>-110.01</v>
      </c>
      <c r="V25" s="126">
        <f t="shared" si="5"/>
        <v>121</v>
      </c>
      <c r="Y25" s="10"/>
    </row>
    <row r="26" spans="1:25" ht="12.75">
      <c r="A26" s="120" t="s">
        <v>132</v>
      </c>
      <c r="B26" s="121">
        <v>43282</v>
      </c>
      <c r="C26" s="120" t="s">
        <v>373</v>
      </c>
      <c r="D26" s="135">
        <v>1561.15</v>
      </c>
      <c r="E26" s="128"/>
      <c r="F26" s="131"/>
      <c r="K26" s="121">
        <v>43282</v>
      </c>
      <c r="M26" s="121">
        <v>43311</v>
      </c>
      <c r="N26" s="121">
        <v>43311</v>
      </c>
      <c r="O26" s="123">
        <f t="shared" si="0"/>
        <v>-29</v>
      </c>
      <c r="P26" s="123">
        <f t="shared" si="1"/>
        <v>0</v>
      </c>
      <c r="Q26" s="123">
        <f t="shared" si="6"/>
        <v>29</v>
      </c>
      <c r="R26" s="123">
        <f t="shared" si="2"/>
        <v>-1</v>
      </c>
      <c r="S26" s="124">
        <v>21</v>
      </c>
      <c r="T26" s="125">
        <f t="shared" si="3"/>
        <v>0</v>
      </c>
      <c r="U26" s="125">
        <f t="shared" si="4"/>
        <v>-1561.15</v>
      </c>
      <c r="V26" s="126">
        <f t="shared" si="5"/>
        <v>121</v>
      </c>
      <c r="Y26" s="10"/>
    </row>
    <row r="27" spans="1:25" ht="12.75">
      <c r="A27" s="120" t="s">
        <v>133</v>
      </c>
      <c r="B27" s="121">
        <v>43282</v>
      </c>
      <c r="C27" s="120" t="s">
        <v>374</v>
      </c>
      <c r="D27" s="135">
        <v>59.7</v>
      </c>
      <c r="E27" s="128"/>
      <c r="F27" s="131"/>
      <c r="K27" s="121">
        <v>43282</v>
      </c>
      <c r="M27" s="121">
        <v>43283</v>
      </c>
      <c r="N27" s="121">
        <v>43283</v>
      </c>
      <c r="O27" s="123">
        <f t="shared" si="0"/>
        <v>-1</v>
      </c>
      <c r="P27" s="123">
        <f t="shared" si="1"/>
        <v>0</v>
      </c>
      <c r="Q27" s="123">
        <f t="shared" si="6"/>
        <v>1</v>
      </c>
      <c r="R27" s="123">
        <f t="shared" si="2"/>
        <v>-29</v>
      </c>
      <c r="S27" s="124">
        <v>21</v>
      </c>
      <c r="T27" s="125">
        <f t="shared" si="3"/>
        <v>0</v>
      </c>
      <c r="U27" s="125">
        <f t="shared" si="4"/>
        <v>-1731.3000000000002</v>
      </c>
      <c r="V27" s="126">
        <f t="shared" si="5"/>
        <v>121</v>
      </c>
      <c r="Y27" s="10"/>
    </row>
    <row r="28" spans="1:25" s="122" customFormat="1" ht="12.75">
      <c r="A28" s="120" t="s">
        <v>134</v>
      </c>
      <c r="B28" s="121">
        <v>43287</v>
      </c>
      <c r="C28" s="120" t="s">
        <v>375</v>
      </c>
      <c r="D28" s="135">
        <v>155</v>
      </c>
      <c r="E28" s="128"/>
      <c r="F28" s="132"/>
      <c r="K28" s="121">
        <v>43313</v>
      </c>
      <c r="L28" s="18"/>
      <c r="M28" s="121">
        <v>43322</v>
      </c>
      <c r="N28" s="121">
        <v>43322</v>
      </c>
      <c r="O28" s="123">
        <f t="shared" si="0"/>
        <v>-9</v>
      </c>
      <c r="P28" s="123">
        <f t="shared" si="1"/>
        <v>0</v>
      </c>
      <c r="Q28" s="123">
        <f t="shared" si="6"/>
        <v>9</v>
      </c>
      <c r="R28" s="123">
        <f t="shared" si="2"/>
        <v>-21</v>
      </c>
      <c r="S28" s="126">
        <v>29</v>
      </c>
      <c r="T28" s="125">
        <f t="shared" si="3"/>
        <v>0</v>
      </c>
      <c r="U28" s="125">
        <f t="shared" si="4"/>
        <v>-3255</v>
      </c>
      <c r="V28" s="126">
        <f t="shared" si="5"/>
        <v>129</v>
      </c>
      <c r="Y28" s="10"/>
    </row>
    <row r="29" spans="1:25" ht="12.75">
      <c r="A29" s="120" t="s">
        <v>135</v>
      </c>
      <c r="B29" s="121">
        <v>43282</v>
      </c>
      <c r="C29" s="120" t="s">
        <v>376</v>
      </c>
      <c r="D29" s="135">
        <v>1610.74</v>
      </c>
      <c r="E29" s="128"/>
      <c r="F29" s="131"/>
      <c r="K29" s="121">
        <v>43313</v>
      </c>
      <c r="M29" s="121">
        <v>43322</v>
      </c>
      <c r="N29" s="121">
        <v>43322</v>
      </c>
      <c r="O29" s="123">
        <f t="shared" si="0"/>
        <v>-9</v>
      </c>
      <c r="P29" s="123">
        <f t="shared" si="1"/>
        <v>0</v>
      </c>
      <c r="Q29" s="123">
        <f aca="true" t="shared" si="7" ref="Q29:Q45">+N29-K29</f>
        <v>9</v>
      </c>
      <c r="R29" s="123">
        <f t="shared" si="2"/>
        <v>-21</v>
      </c>
      <c r="S29" s="126">
        <v>29</v>
      </c>
      <c r="T29" s="125">
        <f t="shared" si="3"/>
        <v>0</v>
      </c>
      <c r="U29" s="125">
        <f t="shared" si="4"/>
        <v>-33825.54</v>
      </c>
      <c r="V29" s="126">
        <f t="shared" si="5"/>
        <v>129</v>
      </c>
      <c r="Y29" s="10"/>
    </row>
    <row r="30" spans="1:25" ht="12.75">
      <c r="A30" s="120" t="s">
        <v>136</v>
      </c>
      <c r="B30" s="121">
        <v>43287</v>
      </c>
      <c r="C30" s="120" t="s">
        <v>377</v>
      </c>
      <c r="D30" s="135">
        <v>5904.96</v>
      </c>
      <c r="E30" s="128"/>
      <c r="F30" s="131"/>
      <c r="K30" s="121">
        <v>43313</v>
      </c>
      <c r="M30" s="121">
        <v>43322</v>
      </c>
      <c r="N30" s="121">
        <v>43322</v>
      </c>
      <c r="O30" s="123">
        <f t="shared" si="0"/>
        <v>-9</v>
      </c>
      <c r="P30" s="123">
        <f t="shared" si="1"/>
        <v>0</v>
      </c>
      <c r="Q30" s="123">
        <f t="shared" si="7"/>
        <v>9</v>
      </c>
      <c r="R30" s="123">
        <f t="shared" si="2"/>
        <v>-21</v>
      </c>
      <c r="S30" s="126">
        <v>29</v>
      </c>
      <c r="T30" s="125">
        <f t="shared" si="3"/>
        <v>0</v>
      </c>
      <c r="U30" s="125">
        <f t="shared" si="4"/>
        <v>-124004.16</v>
      </c>
      <c r="V30" s="126">
        <f t="shared" si="5"/>
        <v>129</v>
      </c>
      <c r="Y30" s="10"/>
    </row>
    <row r="31" spans="1:25" ht="12.75">
      <c r="A31" s="120" t="s">
        <v>137</v>
      </c>
      <c r="B31" s="121">
        <v>43283</v>
      </c>
      <c r="C31" s="120" t="s">
        <v>97</v>
      </c>
      <c r="D31" s="135">
        <v>12500</v>
      </c>
      <c r="E31" s="128"/>
      <c r="F31" s="131"/>
      <c r="K31" s="121">
        <v>43313</v>
      </c>
      <c r="M31" s="121">
        <v>43315</v>
      </c>
      <c r="N31" s="121">
        <v>43315</v>
      </c>
      <c r="O31" s="123">
        <f t="shared" si="0"/>
        <v>-2</v>
      </c>
      <c r="P31" s="123">
        <f t="shared" si="1"/>
        <v>0</v>
      </c>
      <c r="Q31" s="123">
        <f t="shared" si="7"/>
        <v>2</v>
      </c>
      <c r="R31" s="123">
        <f t="shared" si="2"/>
        <v>-28</v>
      </c>
      <c r="S31" s="126">
        <v>29</v>
      </c>
      <c r="T31" s="125">
        <f t="shared" si="3"/>
        <v>0</v>
      </c>
      <c r="U31" s="125">
        <f t="shared" si="4"/>
        <v>-350000</v>
      </c>
      <c r="V31" s="126">
        <f t="shared" si="5"/>
        <v>129</v>
      </c>
      <c r="Y31" s="10"/>
    </row>
    <row r="32" spans="1:25" ht="12.75">
      <c r="A32" s="120" t="s">
        <v>138</v>
      </c>
      <c r="B32" s="121">
        <v>43282</v>
      </c>
      <c r="C32" s="120" t="s">
        <v>378</v>
      </c>
      <c r="D32" s="135">
        <v>760</v>
      </c>
      <c r="E32" s="128"/>
      <c r="F32" s="131"/>
      <c r="K32" s="121">
        <v>43282</v>
      </c>
      <c r="M32" s="121">
        <v>43312</v>
      </c>
      <c r="N32" s="121">
        <v>43312</v>
      </c>
      <c r="O32" s="123">
        <f t="shared" si="0"/>
        <v>-30</v>
      </c>
      <c r="P32" s="123">
        <f t="shared" si="1"/>
        <v>0</v>
      </c>
      <c r="Q32" s="123">
        <f t="shared" si="7"/>
        <v>30</v>
      </c>
      <c r="R32" s="123">
        <f t="shared" si="2"/>
        <v>0</v>
      </c>
      <c r="S32" s="126">
        <v>29</v>
      </c>
      <c r="T32" s="125">
        <f t="shared" si="3"/>
        <v>0</v>
      </c>
      <c r="U32" s="125">
        <f t="shared" si="4"/>
        <v>0</v>
      </c>
      <c r="V32" s="126">
        <f t="shared" si="5"/>
        <v>129</v>
      </c>
      <c r="Y32" s="10"/>
    </row>
    <row r="33" spans="1:25" ht="12.75">
      <c r="A33" s="120" t="s">
        <v>139</v>
      </c>
      <c r="B33" s="121">
        <v>43282</v>
      </c>
      <c r="C33" s="120" t="s">
        <v>379</v>
      </c>
      <c r="D33" s="135">
        <v>273.46</v>
      </c>
      <c r="E33" s="128"/>
      <c r="F33" s="131"/>
      <c r="K33" s="121">
        <v>43282</v>
      </c>
      <c r="M33" s="121">
        <v>43311</v>
      </c>
      <c r="N33" s="121">
        <v>43311</v>
      </c>
      <c r="O33" s="123">
        <f t="shared" si="0"/>
        <v>-29</v>
      </c>
      <c r="P33" s="123">
        <f t="shared" si="1"/>
        <v>0</v>
      </c>
      <c r="Q33" s="123">
        <f t="shared" si="7"/>
        <v>29</v>
      </c>
      <c r="R33" s="123">
        <f t="shared" si="2"/>
        <v>-1</v>
      </c>
      <c r="S33" s="126">
        <v>21</v>
      </c>
      <c r="T33" s="125">
        <f t="shared" si="3"/>
        <v>0</v>
      </c>
      <c r="U33" s="125">
        <f t="shared" si="4"/>
        <v>-273.46</v>
      </c>
      <c r="V33" s="126">
        <f t="shared" si="5"/>
        <v>121</v>
      </c>
      <c r="Y33" s="10"/>
    </row>
    <row r="34" spans="1:25" ht="12.75">
      <c r="A34" s="120" t="s">
        <v>140</v>
      </c>
      <c r="B34" s="121">
        <v>43282</v>
      </c>
      <c r="C34" s="120" t="s">
        <v>380</v>
      </c>
      <c r="D34" s="135">
        <v>109.64</v>
      </c>
      <c r="E34" s="128"/>
      <c r="F34" s="131"/>
      <c r="K34" s="121">
        <v>43282</v>
      </c>
      <c r="M34" s="121">
        <v>43311</v>
      </c>
      <c r="N34" s="121">
        <v>43311</v>
      </c>
      <c r="O34" s="123">
        <f t="shared" si="0"/>
        <v>-29</v>
      </c>
      <c r="P34" s="123">
        <f t="shared" si="1"/>
        <v>0</v>
      </c>
      <c r="Q34" s="123">
        <f t="shared" si="7"/>
        <v>29</v>
      </c>
      <c r="R34" s="123">
        <f t="shared" si="2"/>
        <v>-1</v>
      </c>
      <c r="S34" s="126">
        <v>21</v>
      </c>
      <c r="T34" s="125">
        <f t="shared" si="3"/>
        <v>0</v>
      </c>
      <c r="U34" s="125">
        <f t="shared" si="4"/>
        <v>-109.64</v>
      </c>
      <c r="V34" s="126">
        <f t="shared" si="5"/>
        <v>121</v>
      </c>
      <c r="Y34" s="10"/>
    </row>
    <row r="35" spans="1:25" ht="12.75">
      <c r="A35" s="120" t="s">
        <v>141</v>
      </c>
      <c r="B35" s="121">
        <v>43282</v>
      </c>
      <c r="C35" s="120" t="s">
        <v>381</v>
      </c>
      <c r="D35" s="135">
        <v>181.5</v>
      </c>
      <c r="E35" s="128"/>
      <c r="F35" s="131"/>
      <c r="K35" s="121">
        <v>43282</v>
      </c>
      <c r="M35" s="121">
        <v>43312</v>
      </c>
      <c r="N35" s="121">
        <v>43312</v>
      </c>
      <c r="O35" s="123">
        <f t="shared" si="0"/>
        <v>-30</v>
      </c>
      <c r="P35" s="123">
        <f t="shared" si="1"/>
        <v>0</v>
      </c>
      <c r="Q35" s="123">
        <f t="shared" si="7"/>
        <v>30</v>
      </c>
      <c r="R35" s="123">
        <f t="shared" si="2"/>
        <v>0</v>
      </c>
      <c r="S35" s="126">
        <v>29</v>
      </c>
      <c r="T35" s="125">
        <f t="shared" si="3"/>
        <v>0</v>
      </c>
      <c r="U35" s="125">
        <f t="shared" si="4"/>
        <v>0</v>
      </c>
      <c r="V35" s="126">
        <f t="shared" si="5"/>
        <v>129</v>
      </c>
      <c r="Y35" s="10"/>
    </row>
    <row r="36" spans="1:25" ht="12.75">
      <c r="A36" s="120" t="s">
        <v>142</v>
      </c>
      <c r="B36" s="121">
        <v>43311</v>
      </c>
      <c r="C36" s="120" t="s">
        <v>382</v>
      </c>
      <c r="D36" s="135">
        <v>146.8</v>
      </c>
      <c r="E36" s="128"/>
      <c r="F36" s="131"/>
      <c r="K36" s="121">
        <v>43313</v>
      </c>
      <c r="M36" s="121">
        <v>43322</v>
      </c>
      <c r="N36" s="121">
        <v>43322</v>
      </c>
      <c r="O36" s="123">
        <f t="shared" si="0"/>
        <v>-9</v>
      </c>
      <c r="P36" s="123">
        <f t="shared" si="1"/>
        <v>0</v>
      </c>
      <c r="Q36" s="123">
        <f t="shared" si="7"/>
        <v>9</v>
      </c>
      <c r="R36" s="123">
        <f t="shared" si="2"/>
        <v>-21</v>
      </c>
      <c r="S36" s="126">
        <v>29</v>
      </c>
      <c r="T36" s="125">
        <f t="shared" si="3"/>
        <v>0</v>
      </c>
      <c r="U36" s="125">
        <f t="shared" si="4"/>
        <v>-3082.8</v>
      </c>
      <c r="V36" s="126">
        <f t="shared" si="5"/>
        <v>129</v>
      </c>
      <c r="Y36" s="10"/>
    </row>
    <row r="37" spans="1:25" ht="12.75">
      <c r="A37" s="120" t="s">
        <v>143</v>
      </c>
      <c r="B37" s="121">
        <v>43343</v>
      </c>
      <c r="C37" s="120" t="s">
        <v>383</v>
      </c>
      <c r="D37" s="135">
        <v>1080</v>
      </c>
      <c r="E37" s="128"/>
      <c r="F37" s="131"/>
      <c r="K37" s="121">
        <v>43343</v>
      </c>
      <c r="M37" s="121">
        <v>43343</v>
      </c>
      <c r="N37" s="121">
        <v>43343</v>
      </c>
      <c r="O37" s="123">
        <f t="shared" si="0"/>
        <v>0</v>
      </c>
      <c r="P37" s="123">
        <f t="shared" si="1"/>
        <v>0</v>
      </c>
      <c r="Q37" s="123">
        <f t="shared" si="7"/>
        <v>0</v>
      </c>
      <c r="R37" s="123">
        <f t="shared" si="2"/>
        <v>-30</v>
      </c>
      <c r="S37" s="126">
        <v>29</v>
      </c>
      <c r="T37" s="125">
        <f t="shared" si="3"/>
        <v>0</v>
      </c>
      <c r="U37" s="125">
        <f t="shared" si="4"/>
        <v>-32400</v>
      </c>
      <c r="V37" s="126">
        <f t="shared" si="5"/>
        <v>129</v>
      </c>
      <c r="Y37" s="10"/>
    </row>
    <row r="38" spans="1:25" ht="12.75">
      <c r="A38" s="120" t="s">
        <v>144</v>
      </c>
      <c r="B38" s="121">
        <v>43299</v>
      </c>
      <c r="C38" s="120" t="s">
        <v>384</v>
      </c>
      <c r="D38" s="135">
        <v>30</v>
      </c>
      <c r="E38" s="128"/>
      <c r="F38" s="131"/>
      <c r="K38" s="121">
        <v>43299</v>
      </c>
      <c r="M38" s="121">
        <v>43291</v>
      </c>
      <c r="N38" s="121">
        <v>43291</v>
      </c>
      <c r="O38" s="123">
        <f t="shared" si="0"/>
        <v>8</v>
      </c>
      <c r="P38" s="123">
        <f t="shared" si="1"/>
        <v>0</v>
      </c>
      <c r="Q38" s="123">
        <f t="shared" si="7"/>
        <v>-8</v>
      </c>
      <c r="R38" s="123">
        <f t="shared" si="2"/>
        <v>-38</v>
      </c>
      <c r="S38" s="126">
        <v>29</v>
      </c>
      <c r="T38" s="125">
        <f t="shared" si="3"/>
        <v>0</v>
      </c>
      <c r="U38" s="125">
        <f t="shared" si="4"/>
        <v>-1140</v>
      </c>
      <c r="V38" s="126">
        <f t="shared" si="5"/>
        <v>129</v>
      </c>
      <c r="Y38" s="10"/>
    </row>
    <row r="39" spans="1:25" ht="12.75">
      <c r="A39" s="120" t="s">
        <v>145</v>
      </c>
      <c r="B39" s="121">
        <v>43298</v>
      </c>
      <c r="C39" s="120" t="s">
        <v>385</v>
      </c>
      <c r="D39" s="135">
        <v>174.24</v>
      </c>
      <c r="E39" s="128"/>
      <c r="F39" s="131"/>
      <c r="K39" s="121">
        <v>43318</v>
      </c>
      <c r="M39" s="121">
        <v>43322</v>
      </c>
      <c r="N39" s="121">
        <v>43322</v>
      </c>
      <c r="O39" s="123">
        <f t="shared" si="0"/>
        <v>-4</v>
      </c>
      <c r="P39" s="123">
        <f t="shared" si="1"/>
        <v>0</v>
      </c>
      <c r="Q39" s="123">
        <f t="shared" si="7"/>
        <v>4</v>
      </c>
      <c r="R39" s="123">
        <f t="shared" si="2"/>
        <v>-26</v>
      </c>
      <c r="S39" s="126">
        <v>29</v>
      </c>
      <c r="T39" s="125">
        <f t="shared" si="3"/>
        <v>0</v>
      </c>
      <c r="U39" s="125">
        <f t="shared" si="4"/>
        <v>-4530.24</v>
      </c>
      <c r="V39" s="126">
        <f t="shared" si="5"/>
        <v>129</v>
      </c>
      <c r="Y39" s="10"/>
    </row>
    <row r="40" spans="1:25" ht="12.75">
      <c r="A40" s="120" t="s">
        <v>146</v>
      </c>
      <c r="B40" s="121">
        <v>43282</v>
      </c>
      <c r="C40" s="120" t="s">
        <v>386</v>
      </c>
      <c r="D40" s="135">
        <v>129.6</v>
      </c>
      <c r="E40" s="128"/>
      <c r="F40" s="131"/>
      <c r="K40" s="121">
        <v>43282</v>
      </c>
      <c r="M40" s="121">
        <v>43311</v>
      </c>
      <c r="N40" s="121">
        <v>43311</v>
      </c>
      <c r="O40" s="123">
        <f t="shared" si="0"/>
        <v>-29</v>
      </c>
      <c r="P40" s="123">
        <f t="shared" si="1"/>
        <v>0</v>
      </c>
      <c r="Q40" s="123">
        <f t="shared" si="7"/>
        <v>29</v>
      </c>
      <c r="R40" s="123">
        <f t="shared" si="2"/>
        <v>-1</v>
      </c>
      <c r="S40" s="126">
        <v>21</v>
      </c>
      <c r="T40" s="125">
        <f t="shared" si="3"/>
        <v>0</v>
      </c>
      <c r="U40" s="125">
        <f t="shared" si="4"/>
        <v>-129.6</v>
      </c>
      <c r="V40" s="126">
        <f t="shared" si="5"/>
        <v>121</v>
      </c>
      <c r="Y40" s="10"/>
    </row>
    <row r="41" spans="1:25" ht="12.75">
      <c r="A41" s="120" t="s">
        <v>147</v>
      </c>
      <c r="B41" s="121">
        <v>43312</v>
      </c>
      <c r="C41" s="120" t="s">
        <v>387</v>
      </c>
      <c r="D41" s="135">
        <v>459.34</v>
      </c>
      <c r="E41" s="128"/>
      <c r="F41" s="131"/>
      <c r="K41" s="121">
        <v>43320</v>
      </c>
      <c r="M41" s="121">
        <v>43322</v>
      </c>
      <c r="N41" s="121">
        <v>43322</v>
      </c>
      <c r="O41" s="123">
        <f t="shared" si="0"/>
        <v>-2</v>
      </c>
      <c r="P41" s="123">
        <f t="shared" si="1"/>
        <v>0</v>
      </c>
      <c r="Q41" s="123">
        <f t="shared" si="7"/>
        <v>2</v>
      </c>
      <c r="R41" s="123">
        <f t="shared" si="2"/>
        <v>-28</v>
      </c>
      <c r="S41" s="126">
        <v>29</v>
      </c>
      <c r="T41" s="125">
        <f t="shared" si="3"/>
        <v>0</v>
      </c>
      <c r="U41" s="125">
        <f t="shared" si="4"/>
        <v>-12861.519999999999</v>
      </c>
      <c r="V41" s="126">
        <f t="shared" si="5"/>
        <v>129</v>
      </c>
      <c r="Y41" s="10"/>
    </row>
    <row r="42" spans="1:25" ht="12.75">
      <c r="A42" s="120" t="s">
        <v>148</v>
      </c>
      <c r="B42" s="121">
        <v>43304</v>
      </c>
      <c r="C42" s="120" t="s">
        <v>388</v>
      </c>
      <c r="D42" s="135">
        <v>154.28</v>
      </c>
      <c r="E42" s="128"/>
      <c r="F42" s="131"/>
      <c r="K42" s="121">
        <v>43321</v>
      </c>
      <c r="M42" s="121">
        <v>43322</v>
      </c>
      <c r="N42" s="121">
        <v>43322</v>
      </c>
      <c r="O42" s="123">
        <f t="shared" si="0"/>
        <v>-1</v>
      </c>
      <c r="P42" s="123">
        <f t="shared" si="1"/>
        <v>0</v>
      </c>
      <c r="Q42" s="123">
        <f t="shared" si="7"/>
        <v>1</v>
      </c>
      <c r="R42" s="123">
        <f t="shared" si="2"/>
        <v>-29</v>
      </c>
      <c r="S42" s="126">
        <v>21</v>
      </c>
      <c r="T42" s="125">
        <f t="shared" si="3"/>
        <v>0</v>
      </c>
      <c r="U42" s="125">
        <f t="shared" si="4"/>
        <v>-4474.12</v>
      </c>
      <c r="V42" s="126">
        <f t="shared" si="5"/>
        <v>121</v>
      </c>
      <c r="Y42" s="10"/>
    </row>
    <row r="43" spans="1:25" ht="12.75">
      <c r="A43" s="120" t="s">
        <v>149</v>
      </c>
      <c r="B43" s="121">
        <v>43301</v>
      </c>
      <c r="C43" s="120" t="s">
        <v>389</v>
      </c>
      <c r="D43" s="135">
        <v>30</v>
      </c>
      <c r="E43" s="131"/>
      <c r="J43" s="18"/>
      <c r="K43" s="121">
        <v>43300</v>
      </c>
      <c r="M43" s="121">
        <v>43300</v>
      </c>
      <c r="N43" s="121">
        <v>43300</v>
      </c>
      <c r="O43" s="123">
        <f t="shared" si="0"/>
        <v>0</v>
      </c>
      <c r="P43" s="123">
        <f t="shared" si="1"/>
        <v>0</v>
      </c>
      <c r="Q43" s="123">
        <f t="shared" si="7"/>
        <v>0</v>
      </c>
      <c r="R43" s="123">
        <f t="shared" si="2"/>
        <v>-30</v>
      </c>
      <c r="S43" s="126">
        <v>29</v>
      </c>
      <c r="T43" s="125">
        <f t="shared" si="3"/>
        <v>0</v>
      </c>
      <c r="U43" s="125">
        <f t="shared" si="4"/>
        <v>-900</v>
      </c>
      <c r="V43" s="126">
        <f t="shared" si="5"/>
        <v>129</v>
      </c>
      <c r="Y43" s="10"/>
    </row>
    <row r="44" spans="1:25" ht="12.75">
      <c r="A44" s="120" t="s">
        <v>150</v>
      </c>
      <c r="B44" s="121">
        <v>43293</v>
      </c>
      <c r="C44" s="120" t="s">
        <v>390</v>
      </c>
      <c r="D44" s="135">
        <v>3671.75</v>
      </c>
      <c r="E44" s="131"/>
      <c r="J44" s="18"/>
      <c r="K44" s="121">
        <v>43321</v>
      </c>
      <c r="M44" s="121">
        <v>43322</v>
      </c>
      <c r="N44" s="121">
        <v>43322</v>
      </c>
      <c r="O44" s="123">
        <f t="shared" si="0"/>
        <v>-1</v>
      </c>
      <c r="P44" s="123">
        <f t="shared" si="1"/>
        <v>0</v>
      </c>
      <c r="Q44" s="123">
        <f t="shared" si="7"/>
        <v>1</v>
      </c>
      <c r="R44" s="123">
        <f t="shared" si="2"/>
        <v>-29</v>
      </c>
      <c r="S44" s="126">
        <v>29</v>
      </c>
      <c r="T44" s="125">
        <f t="shared" si="3"/>
        <v>0</v>
      </c>
      <c r="U44" s="125">
        <f t="shared" si="4"/>
        <v>-106480.75</v>
      </c>
      <c r="V44" s="126">
        <f t="shared" si="5"/>
        <v>129</v>
      </c>
      <c r="Y44" s="10"/>
    </row>
    <row r="45" spans="1:25" ht="12.75">
      <c r="A45" s="120" t="s">
        <v>151</v>
      </c>
      <c r="B45" s="121">
        <v>43282</v>
      </c>
      <c r="C45" s="120" t="s">
        <v>391</v>
      </c>
      <c r="D45" s="135">
        <v>459.34</v>
      </c>
      <c r="E45" s="128"/>
      <c r="F45" s="131"/>
      <c r="K45" s="121">
        <v>43322</v>
      </c>
      <c r="M45" s="121">
        <v>43322</v>
      </c>
      <c r="N45" s="121">
        <v>43322</v>
      </c>
      <c r="O45" s="123">
        <f t="shared" si="0"/>
        <v>0</v>
      </c>
      <c r="P45" s="123">
        <f t="shared" si="1"/>
        <v>0</v>
      </c>
      <c r="Q45" s="123">
        <f t="shared" si="7"/>
        <v>0</v>
      </c>
      <c r="R45" s="123">
        <f t="shared" si="2"/>
        <v>-30</v>
      </c>
      <c r="S45" s="126">
        <v>29</v>
      </c>
      <c r="T45" s="125">
        <f t="shared" si="3"/>
        <v>0</v>
      </c>
      <c r="U45" s="125">
        <f t="shared" si="4"/>
        <v>-13780.199999999999</v>
      </c>
      <c r="V45" s="126">
        <f t="shared" si="5"/>
        <v>129</v>
      </c>
      <c r="Y45" s="10"/>
    </row>
    <row r="46" spans="1:25" ht="12.75">
      <c r="A46" s="120" t="s">
        <v>152</v>
      </c>
      <c r="B46" s="121">
        <v>43311</v>
      </c>
      <c r="C46" s="120" t="s">
        <v>392</v>
      </c>
      <c r="D46" s="135">
        <v>23.99</v>
      </c>
      <c r="E46" s="128"/>
      <c r="F46" s="131"/>
      <c r="K46" s="121">
        <v>43311</v>
      </c>
      <c r="M46" s="121">
        <v>43328</v>
      </c>
      <c r="N46" s="121">
        <v>43328</v>
      </c>
      <c r="O46" s="123">
        <f t="shared" si="0"/>
        <v>-17</v>
      </c>
      <c r="P46" s="123">
        <f t="shared" si="1"/>
        <v>0</v>
      </c>
      <c r="Q46" s="123">
        <f aca="true" t="shared" si="8" ref="Q46:Q60">+N46-K46</f>
        <v>17</v>
      </c>
      <c r="R46" s="123">
        <f t="shared" si="2"/>
        <v>-13</v>
      </c>
      <c r="S46" s="126">
        <v>29</v>
      </c>
      <c r="T46" s="125">
        <f t="shared" si="3"/>
        <v>0</v>
      </c>
      <c r="U46" s="125">
        <f t="shared" si="4"/>
        <v>-311.87</v>
      </c>
      <c r="V46" s="126">
        <f t="shared" si="5"/>
        <v>129</v>
      </c>
      <c r="Y46" s="10"/>
    </row>
    <row r="47" spans="1:25" ht="12.75">
      <c r="A47" s="120" t="s">
        <v>153</v>
      </c>
      <c r="B47" s="121">
        <v>43311</v>
      </c>
      <c r="C47" s="120" t="s">
        <v>393</v>
      </c>
      <c r="D47" s="135">
        <v>23.84</v>
      </c>
      <c r="E47" s="128"/>
      <c r="F47" s="131"/>
      <c r="K47" s="121">
        <v>43311</v>
      </c>
      <c r="M47" s="121">
        <v>43328</v>
      </c>
      <c r="N47" s="121">
        <v>43328</v>
      </c>
      <c r="O47" s="123">
        <f t="shared" si="0"/>
        <v>-17</v>
      </c>
      <c r="P47" s="123">
        <f t="shared" si="1"/>
        <v>0</v>
      </c>
      <c r="Q47" s="123">
        <f t="shared" si="8"/>
        <v>17</v>
      </c>
      <c r="R47" s="123">
        <f t="shared" si="2"/>
        <v>-13</v>
      </c>
      <c r="S47" s="126">
        <v>29</v>
      </c>
      <c r="T47" s="125">
        <f t="shared" si="3"/>
        <v>0</v>
      </c>
      <c r="U47" s="125">
        <f t="shared" si="4"/>
        <v>-309.92</v>
      </c>
      <c r="V47" s="126">
        <f t="shared" si="5"/>
        <v>129</v>
      </c>
      <c r="Y47" s="10"/>
    </row>
    <row r="48" spans="1:25" ht="12.75">
      <c r="A48" s="120" t="s">
        <v>154</v>
      </c>
      <c r="B48" s="121">
        <v>43311</v>
      </c>
      <c r="C48" s="120" t="s">
        <v>394</v>
      </c>
      <c r="D48" s="135">
        <v>33.41</v>
      </c>
      <c r="E48" s="128"/>
      <c r="F48" s="131"/>
      <c r="K48" s="121">
        <v>43311</v>
      </c>
      <c r="M48" s="121">
        <v>43328</v>
      </c>
      <c r="N48" s="121">
        <v>43328</v>
      </c>
      <c r="O48" s="123">
        <f t="shared" si="0"/>
        <v>-17</v>
      </c>
      <c r="P48" s="123">
        <f t="shared" si="1"/>
        <v>0</v>
      </c>
      <c r="Q48" s="123">
        <f t="shared" si="8"/>
        <v>17</v>
      </c>
      <c r="R48" s="123">
        <f t="shared" si="2"/>
        <v>-13</v>
      </c>
      <c r="S48" s="126">
        <v>29</v>
      </c>
      <c r="T48" s="125">
        <f t="shared" si="3"/>
        <v>0</v>
      </c>
      <c r="U48" s="125">
        <f t="shared" si="4"/>
        <v>-434.3299999999999</v>
      </c>
      <c r="V48" s="126">
        <f t="shared" si="5"/>
        <v>129</v>
      </c>
      <c r="Y48" s="10"/>
    </row>
    <row r="49" spans="1:25" ht="12.75">
      <c r="A49" s="120" t="s">
        <v>155</v>
      </c>
      <c r="B49" s="121">
        <v>43311</v>
      </c>
      <c r="C49" s="120" t="s">
        <v>395</v>
      </c>
      <c r="D49" s="135">
        <v>16.26</v>
      </c>
      <c r="E49" s="128"/>
      <c r="F49" s="131"/>
      <c r="K49" s="121">
        <v>43311</v>
      </c>
      <c r="M49" s="121">
        <v>43328</v>
      </c>
      <c r="N49" s="121">
        <v>43328</v>
      </c>
      <c r="O49" s="123">
        <f t="shared" si="0"/>
        <v>-17</v>
      </c>
      <c r="P49" s="123">
        <f t="shared" si="1"/>
        <v>0</v>
      </c>
      <c r="Q49" s="123">
        <f t="shared" si="8"/>
        <v>17</v>
      </c>
      <c r="R49" s="123">
        <f t="shared" si="2"/>
        <v>-13</v>
      </c>
      <c r="S49" s="126">
        <v>29</v>
      </c>
      <c r="T49" s="125">
        <f t="shared" si="3"/>
        <v>0</v>
      </c>
      <c r="U49" s="125">
        <f t="shared" si="4"/>
        <v>-211.38000000000002</v>
      </c>
      <c r="V49" s="126">
        <f t="shared" si="5"/>
        <v>129</v>
      </c>
      <c r="Y49" s="10"/>
    </row>
    <row r="50" spans="1:25" ht="12.75">
      <c r="A50" s="120" t="s">
        <v>156</v>
      </c>
      <c r="B50" s="121">
        <v>43311</v>
      </c>
      <c r="C50" s="120" t="s">
        <v>396</v>
      </c>
      <c r="D50" s="135">
        <v>17.62</v>
      </c>
      <c r="E50" s="128"/>
      <c r="F50" s="131"/>
      <c r="K50" s="121">
        <v>43311</v>
      </c>
      <c r="M50" s="121">
        <v>43328</v>
      </c>
      <c r="N50" s="121">
        <v>43328</v>
      </c>
      <c r="O50" s="123">
        <f t="shared" si="0"/>
        <v>-17</v>
      </c>
      <c r="P50" s="123">
        <f t="shared" si="1"/>
        <v>0</v>
      </c>
      <c r="Q50" s="123">
        <f t="shared" si="8"/>
        <v>17</v>
      </c>
      <c r="R50" s="123">
        <f t="shared" si="2"/>
        <v>-13</v>
      </c>
      <c r="S50" s="126">
        <v>29</v>
      </c>
      <c r="T50" s="125">
        <f t="shared" si="3"/>
        <v>0</v>
      </c>
      <c r="U50" s="125">
        <f t="shared" si="4"/>
        <v>-229.06</v>
      </c>
      <c r="V50" s="126">
        <f t="shared" si="5"/>
        <v>129</v>
      </c>
      <c r="Y50" s="10"/>
    </row>
    <row r="51" spans="1:25" ht="12.75">
      <c r="A51" s="120" t="s">
        <v>157</v>
      </c>
      <c r="B51" s="121">
        <v>43311</v>
      </c>
      <c r="C51" s="120" t="s">
        <v>397</v>
      </c>
      <c r="D51" s="135">
        <v>37.95</v>
      </c>
      <c r="E51" s="128"/>
      <c r="F51" s="131"/>
      <c r="K51" s="121">
        <v>43311</v>
      </c>
      <c r="M51" s="121">
        <v>43328</v>
      </c>
      <c r="N51" s="121">
        <v>43328</v>
      </c>
      <c r="O51" s="123">
        <f t="shared" si="0"/>
        <v>-17</v>
      </c>
      <c r="P51" s="123">
        <f t="shared" si="1"/>
        <v>0</v>
      </c>
      <c r="Q51" s="123">
        <f t="shared" si="8"/>
        <v>17</v>
      </c>
      <c r="R51" s="123">
        <f t="shared" si="2"/>
        <v>-13</v>
      </c>
      <c r="S51" s="126">
        <v>29</v>
      </c>
      <c r="T51" s="125">
        <f t="shared" si="3"/>
        <v>0</v>
      </c>
      <c r="U51" s="125">
        <f t="shared" si="4"/>
        <v>-493.35</v>
      </c>
      <c r="V51" s="126">
        <f t="shared" si="5"/>
        <v>129</v>
      </c>
      <c r="Y51" s="10"/>
    </row>
    <row r="52" spans="1:25" ht="12.75">
      <c r="A52" s="120" t="s">
        <v>158</v>
      </c>
      <c r="B52" s="121">
        <v>43321</v>
      </c>
      <c r="C52" s="120" t="s">
        <v>398</v>
      </c>
      <c r="D52" s="135">
        <v>30</v>
      </c>
      <c r="E52" s="128"/>
      <c r="F52" s="131"/>
      <c r="K52" s="121">
        <v>43319</v>
      </c>
      <c r="M52" s="121">
        <v>43319</v>
      </c>
      <c r="N52" s="121">
        <v>43319</v>
      </c>
      <c r="O52" s="123">
        <f t="shared" si="0"/>
        <v>0</v>
      </c>
      <c r="P52" s="123">
        <f t="shared" si="1"/>
        <v>0</v>
      </c>
      <c r="Q52" s="123">
        <f t="shared" si="8"/>
        <v>0</v>
      </c>
      <c r="R52" s="123">
        <f t="shared" si="2"/>
        <v>-30</v>
      </c>
      <c r="S52" s="126">
        <v>29</v>
      </c>
      <c r="T52" s="125">
        <f t="shared" si="3"/>
        <v>0</v>
      </c>
      <c r="U52" s="125">
        <f t="shared" si="4"/>
        <v>-900</v>
      </c>
      <c r="V52" s="126">
        <f t="shared" si="5"/>
        <v>129</v>
      </c>
      <c r="Y52" s="10"/>
    </row>
    <row r="53" spans="1:25" ht="12.75">
      <c r="A53" s="120" t="s">
        <v>159</v>
      </c>
      <c r="B53" s="121">
        <v>43291</v>
      </c>
      <c r="C53" s="120" t="s">
        <v>399</v>
      </c>
      <c r="D53" s="135">
        <v>30</v>
      </c>
      <c r="E53" s="128"/>
      <c r="F53" s="131"/>
      <c r="K53" s="121">
        <v>43287</v>
      </c>
      <c r="M53" s="121">
        <v>43287</v>
      </c>
      <c r="N53" s="121">
        <v>43287</v>
      </c>
      <c r="O53" s="123">
        <f t="shared" si="0"/>
        <v>0</v>
      </c>
      <c r="P53" s="123">
        <f t="shared" si="1"/>
        <v>0</v>
      </c>
      <c r="Q53" s="123">
        <f t="shared" si="8"/>
        <v>0</v>
      </c>
      <c r="R53" s="123">
        <f t="shared" si="2"/>
        <v>-30</v>
      </c>
      <c r="S53" s="126">
        <v>29</v>
      </c>
      <c r="T53" s="125">
        <f t="shared" si="3"/>
        <v>0</v>
      </c>
      <c r="U53" s="125">
        <f t="shared" si="4"/>
        <v>-900</v>
      </c>
      <c r="V53" s="126">
        <f t="shared" si="5"/>
        <v>129</v>
      </c>
      <c r="Y53" s="10"/>
    </row>
    <row r="54" spans="1:25" ht="12.75">
      <c r="A54" s="120" t="s">
        <v>160</v>
      </c>
      <c r="B54" s="121">
        <v>43313</v>
      </c>
      <c r="C54" s="120" t="s">
        <v>400</v>
      </c>
      <c r="D54" s="135">
        <v>-36.99</v>
      </c>
      <c r="E54" s="128"/>
      <c r="F54" s="131"/>
      <c r="K54" s="121">
        <v>43313</v>
      </c>
      <c r="M54" s="121">
        <v>43319</v>
      </c>
      <c r="N54" s="121">
        <v>43319</v>
      </c>
      <c r="O54" s="123">
        <f t="shared" si="0"/>
        <v>-6</v>
      </c>
      <c r="P54" s="123">
        <f t="shared" si="1"/>
        <v>0</v>
      </c>
      <c r="Q54" s="123">
        <f t="shared" si="8"/>
        <v>6</v>
      </c>
      <c r="R54" s="123">
        <f t="shared" si="2"/>
        <v>-24</v>
      </c>
      <c r="S54" s="126">
        <v>29</v>
      </c>
      <c r="T54" s="125">
        <f t="shared" si="3"/>
        <v>0</v>
      </c>
      <c r="U54" s="125">
        <f t="shared" si="4"/>
        <v>887.76</v>
      </c>
      <c r="V54" s="126">
        <f t="shared" si="5"/>
        <v>129</v>
      </c>
      <c r="Y54" s="10"/>
    </row>
    <row r="55" spans="1:25" ht="12.75">
      <c r="A55" s="120" t="s">
        <v>161</v>
      </c>
      <c r="B55" s="121">
        <v>43313</v>
      </c>
      <c r="C55" s="120" t="s">
        <v>401</v>
      </c>
      <c r="D55" s="135">
        <v>59.7</v>
      </c>
      <c r="E55" s="128"/>
      <c r="F55" s="131"/>
      <c r="K55" s="121">
        <v>43313</v>
      </c>
      <c r="M55" s="121">
        <v>43313</v>
      </c>
      <c r="N55" s="121">
        <v>43313</v>
      </c>
      <c r="O55" s="123">
        <f t="shared" si="0"/>
        <v>0</v>
      </c>
      <c r="P55" s="123">
        <f t="shared" si="1"/>
        <v>0</v>
      </c>
      <c r="Q55" s="123">
        <f t="shared" si="8"/>
        <v>0</v>
      </c>
      <c r="R55" s="123">
        <f t="shared" si="2"/>
        <v>-30</v>
      </c>
      <c r="S55" s="126">
        <v>21</v>
      </c>
      <c r="T55" s="125">
        <f t="shared" si="3"/>
        <v>0</v>
      </c>
      <c r="U55" s="125">
        <f t="shared" si="4"/>
        <v>-1791</v>
      </c>
      <c r="V55" s="126">
        <f t="shared" si="5"/>
        <v>121</v>
      </c>
      <c r="Y55" s="10"/>
    </row>
    <row r="56" spans="1:25" ht="12.75">
      <c r="A56" s="120" t="s">
        <v>162</v>
      </c>
      <c r="B56" s="121">
        <v>43311</v>
      </c>
      <c r="C56" s="120" t="s">
        <v>402</v>
      </c>
      <c r="D56" s="135">
        <v>296.44</v>
      </c>
      <c r="E56" s="128"/>
      <c r="F56" s="131"/>
      <c r="K56" s="121">
        <v>43311</v>
      </c>
      <c r="M56" s="121">
        <v>43328</v>
      </c>
      <c r="N56" s="121">
        <v>43328</v>
      </c>
      <c r="O56" s="123">
        <f t="shared" si="0"/>
        <v>-17</v>
      </c>
      <c r="P56" s="123">
        <f t="shared" si="1"/>
        <v>0</v>
      </c>
      <c r="Q56" s="123">
        <f t="shared" si="8"/>
        <v>17</v>
      </c>
      <c r="R56" s="123">
        <f t="shared" si="2"/>
        <v>-13</v>
      </c>
      <c r="S56" s="126">
        <v>29</v>
      </c>
      <c r="T56" s="125">
        <f t="shared" si="3"/>
        <v>0</v>
      </c>
      <c r="U56" s="125">
        <f t="shared" si="4"/>
        <v>-3853.72</v>
      </c>
      <c r="V56" s="126">
        <f t="shared" si="5"/>
        <v>129</v>
      </c>
      <c r="Y56" s="10"/>
    </row>
    <row r="57" spans="1:25" ht="12.75">
      <c r="A57" s="120" t="s">
        <v>163</v>
      </c>
      <c r="B57" s="121">
        <v>43282</v>
      </c>
      <c r="C57" s="120" t="s">
        <v>110</v>
      </c>
      <c r="D57" s="135">
        <v>1991.36</v>
      </c>
      <c r="E57" s="128"/>
      <c r="F57" s="131"/>
      <c r="K57" s="121">
        <v>43328</v>
      </c>
      <c r="M57" s="121">
        <v>43340</v>
      </c>
      <c r="N57" s="121">
        <v>43340</v>
      </c>
      <c r="O57" s="123">
        <f t="shared" si="0"/>
        <v>-12</v>
      </c>
      <c r="P57" s="123">
        <f t="shared" si="1"/>
        <v>0</v>
      </c>
      <c r="Q57" s="123">
        <f t="shared" si="8"/>
        <v>12</v>
      </c>
      <c r="R57" s="123">
        <f t="shared" si="2"/>
        <v>-18</v>
      </c>
      <c r="S57" s="126">
        <v>29</v>
      </c>
      <c r="T57" s="125">
        <f t="shared" si="3"/>
        <v>0</v>
      </c>
      <c r="U57" s="125">
        <f t="shared" si="4"/>
        <v>-35844.479999999996</v>
      </c>
      <c r="V57" s="126">
        <f t="shared" si="5"/>
        <v>129</v>
      </c>
      <c r="Y57" s="10"/>
    </row>
    <row r="58" spans="1:25" ht="12.75">
      <c r="A58" s="120" t="s">
        <v>164</v>
      </c>
      <c r="B58" s="121">
        <v>43282</v>
      </c>
      <c r="C58" s="120" t="s">
        <v>403</v>
      </c>
      <c r="D58" s="135">
        <v>3781.25</v>
      </c>
      <c r="E58" s="128"/>
      <c r="F58" s="131"/>
      <c r="K58" s="121">
        <v>43328</v>
      </c>
      <c r="M58" s="121">
        <v>43340</v>
      </c>
      <c r="N58" s="121">
        <v>43340</v>
      </c>
      <c r="O58" s="123">
        <f t="shared" si="0"/>
        <v>-12</v>
      </c>
      <c r="P58" s="123">
        <f t="shared" si="1"/>
        <v>0</v>
      </c>
      <c r="Q58" s="123">
        <f t="shared" si="8"/>
        <v>12</v>
      </c>
      <c r="R58" s="123">
        <f t="shared" si="2"/>
        <v>-18</v>
      </c>
      <c r="S58" s="126">
        <v>29</v>
      </c>
      <c r="T58" s="125">
        <f t="shared" si="3"/>
        <v>0</v>
      </c>
      <c r="U58" s="125">
        <f t="shared" si="4"/>
        <v>-68062.5</v>
      </c>
      <c r="V58" s="126">
        <f t="shared" si="5"/>
        <v>129</v>
      </c>
      <c r="Y58" s="10"/>
    </row>
    <row r="59" spans="1:25" ht="12.75">
      <c r="A59" s="120" t="s">
        <v>165</v>
      </c>
      <c r="B59" s="121">
        <v>43290</v>
      </c>
      <c r="C59" s="120" t="s">
        <v>404</v>
      </c>
      <c r="D59" s="135">
        <v>30</v>
      </c>
      <c r="E59" s="128"/>
      <c r="F59" s="131"/>
      <c r="K59" s="121">
        <v>43287</v>
      </c>
      <c r="M59" s="121">
        <v>43287</v>
      </c>
      <c r="N59" s="121">
        <v>43287</v>
      </c>
      <c r="O59" s="123">
        <f t="shared" si="0"/>
        <v>0</v>
      </c>
      <c r="P59" s="123">
        <f t="shared" si="1"/>
        <v>0</v>
      </c>
      <c r="Q59" s="123">
        <f t="shared" si="8"/>
        <v>0</v>
      </c>
      <c r="R59" s="123">
        <f t="shared" si="2"/>
        <v>-30</v>
      </c>
      <c r="S59" s="126">
        <v>29</v>
      </c>
      <c r="T59" s="125">
        <f t="shared" si="3"/>
        <v>0</v>
      </c>
      <c r="U59" s="125">
        <f t="shared" si="4"/>
        <v>-900</v>
      </c>
      <c r="V59" s="126">
        <f t="shared" si="5"/>
        <v>129</v>
      </c>
      <c r="Y59" s="10"/>
    </row>
    <row r="60" spans="1:25" ht="12.75">
      <c r="A60" s="120" t="s">
        <v>166</v>
      </c>
      <c r="B60" s="121">
        <v>43290</v>
      </c>
      <c r="C60" s="120" t="s">
        <v>405</v>
      </c>
      <c r="D60" s="135">
        <v>30</v>
      </c>
      <c r="E60" s="128"/>
      <c r="F60" s="131"/>
      <c r="K60" s="121">
        <v>43287</v>
      </c>
      <c r="M60" s="121">
        <v>43287</v>
      </c>
      <c r="N60" s="121">
        <v>43287</v>
      </c>
      <c r="O60" s="123">
        <f t="shared" si="0"/>
        <v>0</v>
      </c>
      <c r="P60" s="123">
        <f t="shared" si="1"/>
        <v>0</v>
      </c>
      <c r="Q60" s="123">
        <f t="shared" si="8"/>
        <v>0</v>
      </c>
      <c r="R60" s="123">
        <f t="shared" si="2"/>
        <v>-30</v>
      </c>
      <c r="S60" s="126">
        <v>29</v>
      </c>
      <c r="T60" s="125">
        <f t="shared" si="3"/>
        <v>0</v>
      </c>
      <c r="U60" s="125">
        <f t="shared" si="4"/>
        <v>-900</v>
      </c>
      <c r="V60" s="126">
        <f t="shared" si="5"/>
        <v>129</v>
      </c>
      <c r="Y60" s="10"/>
    </row>
    <row r="61" spans="1:25" ht="12.75">
      <c r="A61" s="120" t="s">
        <v>167</v>
      </c>
      <c r="B61" s="121">
        <v>43287</v>
      </c>
      <c r="C61" s="120" t="s">
        <v>406</v>
      </c>
      <c r="D61" s="135">
        <v>-2080</v>
      </c>
      <c r="E61" s="128"/>
      <c r="F61" s="131"/>
      <c r="K61" s="121">
        <v>43287</v>
      </c>
      <c r="M61" s="121"/>
      <c r="N61" s="121"/>
      <c r="O61" s="123"/>
      <c r="P61" s="123"/>
      <c r="Q61" s="123"/>
      <c r="R61" s="123"/>
      <c r="S61" s="126"/>
      <c r="T61" s="125"/>
      <c r="U61" s="125"/>
      <c r="V61" s="126"/>
      <c r="Y61" s="10"/>
    </row>
    <row r="62" spans="1:25" ht="12.75">
      <c r="A62" s="120" t="s">
        <v>168</v>
      </c>
      <c r="B62" s="121">
        <v>43299</v>
      </c>
      <c r="C62" s="120" t="s">
        <v>407</v>
      </c>
      <c r="D62" s="135">
        <v>2080</v>
      </c>
      <c r="E62" s="128"/>
      <c r="F62" s="131"/>
      <c r="K62" s="121">
        <v>43299</v>
      </c>
      <c r="M62" s="121"/>
      <c r="N62" s="121"/>
      <c r="O62" s="123"/>
      <c r="P62" s="123"/>
      <c r="Q62" s="123"/>
      <c r="R62" s="123"/>
      <c r="S62" s="126"/>
      <c r="T62" s="125"/>
      <c r="U62" s="125"/>
      <c r="V62" s="126"/>
      <c r="Y62" s="10"/>
    </row>
    <row r="63" spans="1:25" ht="12.75">
      <c r="A63" s="120" t="s">
        <v>169</v>
      </c>
      <c r="B63" s="121">
        <v>43320</v>
      </c>
      <c r="C63" s="120" t="s">
        <v>408</v>
      </c>
      <c r="D63" s="135">
        <v>124.45</v>
      </c>
      <c r="E63" s="128"/>
      <c r="F63" s="131"/>
      <c r="K63" s="121">
        <v>43320</v>
      </c>
      <c r="M63" s="121">
        <v>43328</v>
      </c>
      <c r="N63" s="121">
        <v>43328</v>
      </c>
      <c r="O63" s="123">
        <f t="shared" si="0"/>
        <v>-8</v>
      </c>
      <c r="P63" s="123">
        <f t="shared" si="1"/>
        <v>0</v>
      </c>
      <c r="Q63" s="123">
        <f aca="true" t="shared" si="9" ref="Q63:Q82">+N63-K63</f>
        <v>8</v>
      </c>
      <c r="R63" s="123">
        <f t="shared" si="2"/>
        <v>-22</v>
      </c>
      <c r="S63" s="126">
        <v>21</v>
      </c>
      <c r="T63" s="125">
        <f t="shared" si="3"/>
        <v>0</v>
      </c>
      <c r="U63" s="125">
        <f t="shared" si="4"/>
        <v>-2737.9</v>
      </c>
      <c r="V63" s="126">
        <f t="shared" si="5"/>
        <v>121</v>
      </c>
      <c r="Y63" s="10"/>
    </row>
    <row r="64" spans="1:25" ht="12.75">
      <c r="A64" s="120" t="s">
        <v>170</v>
      </c>
      <c r="B64" s="121">
        <v>43312</v>
      </c>
      <c r="C64" s="120" t="s">
        <v>409</v>
      </c>
      <c r="D64" s="135">
        <v>114.57</v>
      </c>
      <c r="E64" s="128"/>
      <c r="F64" s="131"/>
      <c r="K64" s="121">
        <v>43312</v>
      </c>
      <c r="M64" s="121">
        <v>43343</v>
      </c>
      <c r="N64" s="121">
        <v>43343</v>
      </c>
      <c r="O64" s="123">
        <f t="shared" si="0"/>
        <v>-31</v>
      </c>
      <c r="P64" s="123">
        <f t="shared" si="1"/>
        <v>0</v>
      </c>
      <c r="Q64" s="123">
        <f t="shared" si="9"/>
        <v>31</v>
      </c>
      <c r="R64" s="123">
        <f t="shared" si="2"/>
        <v>1</v>
      </c>
      <c r="S64" s="126">
        <v>21</v>
      </c>
      <c r="T64" s="125">
        <f t="shared" si="3"/>
        <v>0</v>
      </c>
      <c r="U64" s="125">
        <f t="shared" si="4"/>
        <v>114.57</v>
      </c>
      <c r="V64" s="126">
        <f t="shared" si="5"/>
        <v>121</v>
      </c>
      <c r="Y64" s="10"/>
    </row>
    <row r="65" spans="1:25" ht="12.75">
      <c r="A65" s="120" t="s">
        <v>171</v>
      </c>
      <c r="B65" s="121">
        <v>43307</v>
      </c>
      <c r="C65" s="120" t="s">
        <v>410</v>
      </c>
      <c r="D65" s="135">
        <v>34.62</v>
      </c>
      <c r="E65" s="128"/>
      <c r="F65" s="131"/>
      <c r="K65" s="121">
        <v>43307</v>
      </c>
      <c r="M65" s="121">
        <v>43318</v>
      </c>
      <c r="N65" s="121">
        <v>43318</v>
      </c>
      <c r="O65" s="123">
        <f t="shared" si="0"/>
        <v>-11</v>
      </c>
      <c r="P65" s="123">
        <f t="shared" si="1"/>
        <v>0</v>
      </c>
      <c r="Q65" s="123">
        <f t="shared" si="9"/>
        <v>11</v>
      </c>
      <c r="R65" s="123">
        <f t="shared" si="2"/>
        <v>-19</v>
      </c>
      <c r="S65" s="126">
        <v>21</v>
      </c>
      <c r="T65" s="125">
        <f t="shared" si="3"/>
        <v>0</v>
      </c>
      <c r="U65" s="125">
        <f t="shared" si="4"/>
        <v>-657.78</v>
      </c>
      <c r="V65" s="126">
        <f t="shared" si="5"/>
        <v>121</v>
      </c>
      <c r="Y65" s="10"/>
    </row>
    <row r="66" spans="1:25" ht="12.75">
      <c r="A66" s="120" t="s">
        <v>172</v>
      </c>
      <c r="B66" s="121">
        <v>43282</v>
      </c>
      <c r="C66" s="120" t="s">
        <v>411</v>
      </c>
      <c r="D66" s="135">
        <v>950</v>
      </c>
      <c r="E66" s="128"/>
      <c r="F66" s="131"/>
      <c r="K66" s="121">
        <v>43282</v>
      </c>
      <c r="M66" s="121">
        <v>43311</v>
      </c>
      <c r="N66" s="121">
        <v>43311</v>
      </c>
      <c r="O66" s="123">
        <f t="shared" si="0"/>
        <v>-29</v>
      </c>
      <c r="P66" s="123">
        <f t="shared" si="1"/>
        <v>0</v>
      </c>
      <c r="Q66" s="123">
        <f t="shared" si="9"/>
        <v>29</v>
      </c>
      <c r="R66" s="123">
        <f t="shared" si="2"/>
        <v>-1</v>
      </c>
      <c r="S66" s="126">
        <v>29</v>
      </c>
      <c r="T66" s="125">
        <f t="shared" si="3"/>
        <v>0</v>
      </c>
      <c r="U66" s="125">
        <f t="shared" si="4"/>
        <v>-950</v>
      </c>
      <c r="V66" s="126">
        <f t="shared" si="5"/>
        <v>129</v>
      </c>
      <c r="Y66" s="10"/>
    </row>
    <row r="67" spans="1:25" ht="12.75">
      <c r="A67" s="120" t="s">
        <v>173</v>
      </c>
      <c r="B67" s="121">
        <v>43312</v>
      </c>
      <c r="C67" s="120" t="s">
        <v>412</v>
      </c>
      <c r="D67" s="135">
        <v>1000</v>
      </c>
      <c r="E67" s="128"/>
      <c r="F67" s="131"/>
      <c r="K67" s="121">
        <v>43312</v>
      </c>
      <c r="M67" s="121">
        <v>43343</v>
      </c>
      <c r="N67" s="121">
        <v>43343</v>
      </c>
      <c r="O67" s="123">
        <f t="shared" si="0"/>
        <v>-31</v>
      </c>
      <c r="P67" s="123">
        <f t="shared" si="1"/>
        <v>0</v>
      </c>
      <c r="Q67" s="123">
        <f t="shared" si="9"/>
        <v>31</v>
      </c>
      <c r="R67" s="123">
        <f t="shared" si="2"/>
        <v>1</v>
      </c>
      <c r="S67" s="126">
        <v>29</v>
      </c>
      <c r="T67" s="125">
        <f t="shared" si="3"/>
        <v>0</v>
      </c>
      <c r="U67" s="125">
        <f t="shared" si="4"/>
        <v>1000</v>
      </c>
      <c r="V67" s="126">
        <f t="shared" si="5"/>
        <v>129</v>
      </c>
      <c r="Y67" s="10"/>
    </row>
    <row r="68" spans="1:25" ht="12.75">
      <c r="A68" s="120" t="s">
        <v>174</v>
      </c>
      <c r="B68" s="121">
        <v>43282</v>
      </c>
      <c r="C68" s="120" t="s">
        <v>413</v>
      </c>
      <c r="D68" s="135">
        <v>6594.59</v>
      </c>
      <c r="E68" s="128"/>
      <c r="F68" s="131"/>
      <c r="K68" s="121">
        <v>43333</v>
      </c>
      <c r="M68" s="121">
        <v>43340</v>
      </c>
      <c r="N68" s="121">
        <v>43340</v>
      </c>
      <c r="O68" s="123">
        <f t="shared" si="0"/>
        <v>-7</v>
      </c>
      <c r="P68" s="123">
        <f t="shared" si="1"/>
        <v>0</v>
      </c>
      <c r="Q68" s="123">
        <f t="shared" si="9"/>
        <v>7</v>
      </c>
      <c r="R68" s="123">
        <f t="shared" si="2"/>
        <v>-23</v>
      </c>
      <c r="S68" s="126">
        <v>29</v>
      </c>
      <c r="T68" s="125">
        <f t="shared" si="3"/>
        <v>0</v>
      </c>
      <c r="U68" s="125">
        <f t="shared" si="4"/>
        <v>-151675.57</v>
      </c>
      <c r="V68" s="126">
        <f t="shared" si="5"/>
        <v>129</v>
      </c>
      <c r="Y68" s="10"/>
    </row>
    <row r="69" spans="1:25" ht="12.75">
      <c r="A69" s="136" t="s">
        <v>175</v>
      </c>
      <c r="B69" s="127">
        <v>43282</v>
      </c>
      <c r="C69" s="136" t="s">
        <v>414</v>
      </c>
      <c r="D69" s="137">
        <v>472.08</v>
      </c>
      <c r="E69" s="128"/>
      <c r="F69" s="131"/>
      <c r="K69" s="127">
        <v>43282</v>
      </c>
      <c r="M69" s="127">
        <v>43277</v>
      </c>
      <c r="N69" s="127">
        <v>43277</v>
      </c>
      <c r="O69" s="123">
        <f t="shared" si="0"/>
        <v>5</v>
      </c>
      <c r="P69" s="123">
        <f t="shared" si="1"/>
        <v>0</v>
      </c>
      <c r="Q69" s="123">
        <f t="shared" si="9"/>
        <v>-5</v>
      </c>
      <c r="R69" s="123">
        <f t="shared" si="2"/>
        <v>-35</v>
      </c>
      <c r="S69" s="126">
        <v>29</v>
      </c>
      <c r="T69" s="125">
        <f t="shared" si="3"/>
        <v>0</v>
      </c>
      <c r="U69" s="125">
        <f t="shared" si="4"/>
        <v>-16522.8</v>
      </c>
      <c r="V69" s="126">
        <f t="shared" si="5"/>
        <v>129</v>
      </c>
      <c r="Y69" s="10"/>
    </row>
    <row r="70" spans="1:25" ht="12.75">
      <c r="A70" s="136" t="s">
        <v>176</v>
      </c>
      <c r="B70" s="127">
        <v>43285</v>
      </c>
      <c r="C70" s="136" t="s">
        <v>415</v>
      </c>
      <c r="D70" s="137">
        <v>30</v>
      </c>
      <c r="E70" s="128"/>
      <c r="F70" s="131"/>
      <c r="K70" s="127">
        <v>43285</v>
      </c>
      <c r="M70" s="127">
        <v>43278</v>
      </c>
      <c r="N70" s="127">
        <v>43278</v>
      </c>
      <c r="O70" s="123">
        <f t="shared" si="0"/>
        <v>7</v>
      </c>
      <c r="P70" s="123">
        <f t="shared" si="1"/>
        <v>0</v>
      </c>
      <c r="Q70" s="123">
        <f t="shared" si="9"/>
        <v>-7</v>
      </c>
      <c r="R70" s="123">
        <f t="shared" si="2"/>
        <v>-37</v>
      </c>
      <c r="S70" s="126">
        <v>29</v>
      </c>
      <c r="T70" s="125">
        <f t="shared" si="3"/>
        <v>0</v>
      </c>
      <c r="U70" s="125">
        <f t="shared" si="4"/>
        <v>-1110</v>
      </c>
      <c r="V70" s="126">
        <f t="shared" si="5"/>
        <v>129</v>
      </c>
      <c r="Y70" s="10"/>
    </row>
    <row r="71" spans="1:25" ht="12.75">
      <c r="A71" s="120" t="s">
        <v>177</v>
      </c>
      <c r="B71" s="121">
        <v>43301</v>
      </c>
      <c r="C71" s="120" t="s">
        <v>416</v>
      </c>
      <c r="D71" s="135">
        <v>30</v>
      </c>
      <c r="E71" s="128"/>
      <c r="F71" s="131"/>
      <c r="K71" s="121">
        <v>43301</v>
      </c>
      <c r="M71" s="121">
        <v>43300</v>
      </c>
      <c r="N71" s="121">
        <v>43300</v>
      </c>
      <c r="O71" s="123">
        <f aca="true" t="shared" si="10" ref="O71:O134">+K71-M71</f>
        <v>1</v>
      </c>
      <c r="P71" s="123">
        <f aca="true" t="shared" si="11" ref="P71:P134">+N71-M71</f>
        <v>0</v>
      </c>
      <c r="Q71" s="123">
        <f t="shared" si="9"/>
        <v>-1</v>
      </c>
      <c r="R71" s="123">
        <f aca="true" t="shared" si="12" ref="R71:R134">+Q71-30</f>
        <v>-31</v>
      </c>
      <c r="S71" s="126">
        <v>29</v>
      </c>
      <c r="T71" s="125">
        <f aca="true" t="shared" si="13" ref="T71:T134">+P71*D71</f>
        <v>0</v>
      </c>
      <c r="U71" s="125">
        <f aca="true" t="shared" si="14" ref="U71:U134">+R71*D71</f>
        <v>-930</v>
      </c>
      <c r="V71" s="126">
        <f aca="true" t="shared" si="15" ref="V71:V134">IF(P71&gt;30,200+S71,100+S71)</f>
        <v>129</v>
      </c>
      <c r="Y71" s="10"/>
    </row>
    <row r="72" spans="1:25" ht="12.75">
      <c r="A72" s="120" t="s">
        <v>178</v>
      </c>
      <c r="B72" s="121">
        <v>43282</v>
      </c>
      <c r="C72" s="120" t="s">
        <v>417</v>
      </c>
      <c r="D72" s="135">
        <v>3194.02</v>
      </c>
      <c r="E72" s="128"/>
      <c r="F72" s="131"/>
      <c r="K72" s="121">
        <v>43282</v>
      </c>
      <c r="M72" s="121">
        <v>43340</v>
      </c>
      <c r="N72" s="121">
        <v>43340</v>
      </c>
      <c r="O72" s="123">
        <f t="shared" si="10"/>
        <v>-58</v>
      </c>
      <c r="P72" s="123">
        <f t="shared" si="11"/>
        <v>0</v>
      </c>
      <c r="Q72" s="123">
        <f t="shared" si="9"/>
        <v>58</v>
      </c>
      <c r="R72" s="123">
        <f t="shared" si="12"/>
        <v>28</v>
      </c>
      <c r="S72" s="126">
        <v>29</v>
      </c>
      <c r="T72" s="125">
        <f t="shared" si="13"/>
        <v>0</v>
      </c>
      <c r="U72" s="125">
        <f t="shared" si="14"/>
        <v>89432.56</v>
      </c>
      <c r="V72" s="126">
        <f t="shared" si="15"/>
        <v>129</v>
      </c>
      <c r="Y72" s="10"/>
    </row>
    <row r="73" spans="1:25" ht="12.75">
      <c r="A73" s="120" t="s">
        <v>179</v>
      </c>
      <c r="B73" s="121">
        <v>43321</v>
      </c>
      <c r="C73" s="120" t="s">
        <v>418</v>
      </c>
      <c r="D73" s="135">
        <v>681.22</v>
      </c>
      <c r="E73" s="128"/>
      <c r="F73" s="131"/>
      <c r="K73" s="121">
        <v>43333</v>
      </c>
      <c r="M73" s="121">
        <v>43340</v>
      </c>
      <c r="N73" s="121">
        <v>43340</v>
      </c>
      <c r="O73" s="123">
        <f t="shared" si="10"/>
        <v>-7</v>
      </c>
      <c r="P73" s="123">
        <f t="shared" si="11"/>
        <v>0</v>
      </c>
      <c r="Q73" s="123">
        <f t="shared" si="9"/>
        <v>7</v>
      </c>
      <c r="R73" s="123">
        <f t="shared" si="12"/>
        <v>-23</v>
      </c>
      <c r="S73" s="126">
        <v>29</v>
      </c>
      <c r="T73" s="125">
        <f t="shared" si="13"/>
        <v>0</v>
      </c>
      <c r="U73" s="125">
        <f t="shared" si="14"/>
        <v>-15668.060000000001</v>
      </c>
      <c r="V73" s="126">
        <f t="shared" si="15"/>
        <v>129</v>
      </c>
      <c r="Y73" s="10"/>
    </row>
    <row r="74" spans="1:25" ht="12.75">
      <c r="A74" s="120" t="s">
        <v>180</v>
      </c>
      <c r="B74" s="121">
        <v>43305</v>
      </c>
      <c r="C74" s="120" t="s">
        <v>419</v>
      </c>
      <c r="D74" s="135">
        <v>53.81</v>
      </c>
      <c r="E74" s="128"/>
      <c r="F74" s="131"/>
      <c r="K74" s="121">
        <v>43305</v>
      </c>
      <c r="M74" s="121">
        <v>43311</v>
      </c>
      <c r="N74" s="121">
        <v>43311</v>
      </c>
      <c r="O74" s="123">
        <f t="shared" si="10"/>
        <v>-6</v>
      </c>
      <c r="P74" s="123">
        <f t="shared" si="11"/>
        <v>0</v>
      </c>
      <c r="Q74" s="123">
        <f t="shared" si="9"/>
        <v>6</v>
      </c>
      <c r="R74" s="123">
        <f t="shared" si="12"/>
        <v>-24</v>
      </c>
      <c r="S74" s="126">
        <v>29</v>
      </c>
      <c r="T74" s="125">
        <f t="shared" si="13"/>
        <v>0</v>
      </c>
      <c r="U74" s="125">
        <f t="shared" si="14"/>
        <v>-1291.44</v>
      </c>
      <c r="V74" s="126">
        <f t="shared" si="15"/>
        <v>129</v>
      </c>
      <c r="Y74" s="10"/>
    </row>
    <row r="75" spans="1:25" ht="12.75">
      <c r="A75" s="120" t="s">
        <v>181</v>
      </c>
      <c r="B75" s="121">
        <v>43307</v>
      </c>
      <c r="C75" s="120" t="s">
        <v>420</v>
      </c>
      <c r="D75" s="135">
        <v>538.49</v>
      </c>
      <c r="E75" s="128"/>
      <c r="F75" s="131"/>
      <c r="K75" s="121">
        <v>43334</v>
      </c>
      <c r="M75" s="121">
        <v>43339</v>
      </c>
      <c r="N75" s="121">
        <v>43339</v>
      </c>
      <c r="O75" s="123">
        <f t="shared" si="10"/>
        <v>-5</v>
      </c>
      <c r="P75" s="123">
        <f t="shared" si="11"/>
        <v>0</v>
      </c>
      <c r="Q75" s="123">
        <f t="shared" si="9"/>
        <v>5</v>
      </c>
      <c r="R75" s="123">
        <f t="shared" si="12"/>
        <v>-25</v>
      </c>
      <c r="S75" s="126">
        <v>21</v>
      </c>
      <c r="T75" s="125">
        <f t="shared" si="13"/>
        <v>0</v>
      </c>
      <c r="U75" s="125">
        <f t="shared" si="14"/>
        <v>-13462.25</v>
      </c>
      <c r="V75" s="126">
        <f t="shared" si="15"/>
        <v>121</v>
      </c>
      <c r="Y75" s="10"/>
    </row>
    <row r="76" spans="1:25" ht="12.75">
      <c r="A76" s="120" t="s">
        <v>182</v>
      </c>
      <c r="B76" s="121">
        <v>43282</v>
      </c>
      <c r="C76" s="120" t="s">
        <v>421</v>
      </c>
      <c r="D76" s="135">
        <v>11.04</v>
      </c>
      <c r="E76" s="128"/>
      <c r="F76" s="131"/>
      <c r="K76" s="121">
        <v>43282</v>
      </c>
      <c r="M76" s="121">
        <v>43311</v>
      </c>
      <c r="N76" s="121">
        <v>43311</v>
      </c>
      <c r="O76" s="123">
        <f t="shared" si="10"/>
        <v>-29</v>
      </c>
      <c r="P76" s="123">
        <f t="shared" si="11"/>
        <v>0</v>
      </c>
      <c r="Q76" s="123">
        <f t="shared" si="9"/>
        <v>29</v>
      </c>
      <c r="R76" s="123">
        <f t="shared" si="12"/>
        <v>-1</v>
      </c>
      <c r="S76" s="126">
        <v>29</v>
      </c>
      <c r="T76" s="125">
        <f t="shared" si="13"/>
        <v>0</v>
      </c>
      <c r="U76" s="125">
        <f t="shared" si="14"/>
        <v>-11.04</v>
      </c>
      <c r="V76" s="126">
        <f t="shared" si="15"/>
        <v>129</v>
      </c>
      <c r="Y76" s="10"/>
    </row>
    <row r="77" spans="1:25" ht="12.75">
      <c r="A77" s="120" t="s">
        <v>183</v>
      </c>
      <c r="B77" s="121">
        <v>43312</v>
      </c>
      <c r="C77" s="120" t="s">
        <v>422</v>
      </c>
      <c r="D77" s="135">
        <v>1524.59</v>
      </c>
      <c r="E77" s="128"/>
      <c r="F77" s="131"/>
      <c r="K77" s="121">
        <v>43334</v>
      </c>
      <c r="M77" s="121">
        <v>43371</v>
      </c>
      <c r="N77" s="121">
        <v>43371</v>
      </c>
      <c r="O77" s="123">
        <f t="shared" si="10"/>
        <v>-37</v>
      </c>
      <c r="P77" s="123">
        <f t="shared" si="11"/>
        <v>0</v>
      </c>
      <c r="Q77" s="123">
        <f t="shared" si="9"/>
        <v>37</v>
      </c>
      <c r="R77" s="123">
        <f t="shared" si="12"/>
        <v>7</v>
      </c>
      <c r="S77" s="126">
        <v>29</v>
      </c>
      <c r="T77" s="125">
        <f t="shared" si="13"/>
        <v>0</v>
      </c>
      <c r="U77" s="125">
        <f t="shared" si="14"/>
        <v>10672.13</v>
      </c>
      <c r="V77" s="126">
        <f t="shared" si="15"/>
        <v>129</v>
      </c>
      <c r="Y77" s="10"/>
    </row>
    <row r="78" spans="1:25" ht="12.75">
      <c r="A78" s="120" t="s">
        <v>184</v>
      </c>
      <c r="B78" s="121">
        <v>43311</v>
      </c>
      <c r="C78" s="120" t="s">
        <v>423</v>
      </c>
      <c r="D78" s="135">
        <v>412.21</v>
      </c>
      <c r="E78" s="128"/>
      <c r="F78" s="131"/>
      <c r="K78" s="121">
        <v>43311</v>
      </c>
      <c r="M78" s="121">
        <v>43328</v>
      </c>
      <c r="N78" s="121">
        <v>43328</v>
      </c>
      <c r="O78" s="123">
        <f t="shared" si="10"/>
        <v>-17</v>
      </c>
      <c r="P78" s="123">
        <f t="shared" si="11"/>
        <v>0</v>
      </c>
      <c r="Q78" s="123">
        <f t="shared" si="9"/>
        <v>17</v>
      </c>
      <c r="R78" s="123">
        <f t="shared" si="12"/>
        <v>-13</v>
      </c>
      <c r="S78" s="126">
        <v>29</v>
      </c>
      <c r="T78" s="125">
        <f t="shared" si="13"/>
        <v>0</v>
      </c>
      <c r="U78" s="125">
        <f t="shared" si="14"/>
        <v>-5358.73</v>
      </c>
      <c r="V78" s="126">
        <f t="shared" si="15"/>
        <v>129</v>
      </c>
      <c r="Y78" s="10"/>
    </row>
    <row r="79" spans="1:25" ht="12.75">
      <c r="A79" s="120" t="s">
        <v>185</v>
      </c>
      <c r="B79" s="121">
        <v>43311</v>
      </c>
      <c r="C79" s="120" t="s">
        <v>424</v>
      </c>
      <c r="D79" s="135">
        <v>378.91</v>
      </c>
      <c r="E79" s="128"/>
      <c r="F79" s="131"/>
      <c r="K79" s="121">
        <v>43311</v>
      </c>
      <c r="M79" s="121">
        <v>43328</v>
      </c>
      <c r="N79" s="121">
        <v>43328</v>
      </c>
      <c r="O79" s="123">
        <f t="shared" si="10"/>
        <v>-17</v>
      </c>
      <c r="P79" s="123">
        <f t="shared" si="11"/>
        <v>0</v>
      </c>
      <c r="Q79" s="123">
        <f t="shared" si="9"/>
        <v>17</v>
      </c>
      <c r="R79" s="123">
        <f t="shared" si="12"/>
        <v>-13</v>
      </c>
      <c r="S79" s="126">
        <v>29</v>
      </c>
      <c r="T79" s="125">
        <f t="shared" si="13"/>
        <v>0</v>
      </c>
      <c r="U79" s="125">
        <f t="shared" si="14"/>
        <v>-4925.83</v>
      </c>
      <c r="V79" s="126">
        <f t="shared" si="15"/>
        <v>129</v>
      </c>
      <c r="Y79" s="10"/>
    </row>
    <row r="80" spans="1:25" ht="12.75">
      <c r="A80" s="120" t="s">
        <v>186</v>
      </c>
      <c r="B80" s="121">
        <v>43311</v>
      </c>
      <c r="C80" s="120" t="s">
        <v>425</v>
      </c>
      <c r="D80" s="135">
        <v>374.82</v>
      </c>
      <c r="E80" s="128"/>
      <c r="F80" s="131"/>
      <c r="K80" s="121">
        <v>43311</v>
      </c>
      <c r="M80" s="121">
        <v>43328</v>
      </c>
      <c r="N80" s="121">
        <v>43328</v>
      </c>
      <c r="O80" s="123">
        <f t="shared" si="10"/>
        <v>-17</v>
      </c>
      <c r="P80" s="123">
        <f t="shared" si="11"/>
        <v>0</v>
      </c>
      <c r="Q80" s="123">
        <f t="shared" si="9"/>
        <v>17</v>
      </c>
      <c r="R80" s="123">
        <f t="shared" si="12"/>
        <v>-13</v>
      </c>
      <c r="S80" s="126">
        <v>29</v>
      </c>
      <c r="T80" s="125">
        <f t="shared" si="13"/>
        <v>0</v>
      </c>
      <c r="U80" s="125">
        <f t="shared" si="14"/>
        <v>-4872.66</v>
      </c>
      <c r="V80" s="126">
        <f t="shared" si="15"/>
        <v>129</v>
      </c>
      <c r="Y80" s="10"/>
    </row>
    <row r="81" spans="1:25" ht="12.75">
      <c r="A81" s="120" t="s">
        <v>187</v>
      </c>
      <c r="B81" s="121">
        <v>43312</v>
      </c>
      <c r="C81" s="120" t="s">
        <v>426</v>
      </c>
      <c r="D81" s="135">
        <v>1668.35</v>
      </c>
      <c r="E81" s="128"/>
      <c r="F81" s="131"/>
      <c r="K81" s="121">
        <v>43312</v>
      </c>
      <c r="M81" s="121">
        <v>43313</v>
      </c>
      <c r="N81" s="121">
        <v>43313</v>
      </c>
      <c r="O81" s="123">
        <f t="shared" si="10"/>
        <v>-1</v>
      </c>
      <c r="P81" s="123">
        <f t="shared" si="11"/>
        <v>0</v>
      </c>
      <c r="Q81" s="123">
        <f t="shared" si="9"/>
        <v>1</v>
      </c>
      <c r="R81" s="123">
        <f t="shared" si="12"/>
        <v>-29</v>
      </c>
      <c r="S81" s="126">
        <v>29</v>
      </c>
      <c r="T81" s="125">
        <f t="shared" si="13"/>
        <v>0</v>
      </c>
      <c r="U81" s="125">
        <f t="shared" si="14"/>
        <v>-48382.149999999994</v>
      </c>
      <c r="V81" s="126">
        <f t="shared" si="15"/>
        <v>129</v>
      </c>
      <c r="Y81" s="10"/>
    </row>
    <row r="82" spans="1:25" ht="12.75">
      <c r="A82" s="120" t="s">
        <v>188</v>
      </c>
      <c r="B82" s="121">
        <v>43312</v>
      </c>
      <c r="C82" s="120" t="s">
        <v>427</v>
      </c>
      <c r="D82" s="135">
        <v>89.23</v>
      </c>
      <c r="E82" s="128"/>
      <c r="F82" s="131"/>
      <c r="K82" s="121">
        <v>43312</v>
      </c>
      <c r="M82" s="121">
        <v>43318</v>
      </c>
      <c r="N82" s="121">
        <v>43318</v>
      </c>
      <c r="O82" s="123">
        <f t="shared" si="10"/>
        <v>-6</v>
      </c>
      <c r="P82" s="123">
        <f t="shared" si="11"/>
        <v>0</v>
      </c>
      <c r="Q82" s="123">
        <f t="shared" si="9"/>
        <v>6</v>
      </c>
      <c r="R82" s="123">
        <f t="shared" si="12"/>
        <v>-24</v>
      </c>
      <c r="S82" s="126">
        <v>29</v>
      </c>
      <c r="T82" s="125">
        <f t="shared" si="13"/>
        <v>0</v>
      </c>
      <c r="U82" s="125">
        <f t="shared" si="14"/>
        <v>-2141.52</v>
      </c>
      <c r="V82" s="126">
        <f t="shared" si="15"/>
        <v>129</v>
      </c>
      <c r="Y82" s="10"/>
    </row>
    <row r="83" spans="1:25" ht="12.75">
      <c r="A83" s="120" t="s">
        <v>189</v>
      </c>
      <c r="B83" s="121">
        <v>43282</v>
      </c>
      <c r="C83" s="120" t="s">
        <v>428</v>
      </c>
      <c r="D83" s="135">
        <v>1.5</v>
      </c>
      <c r="E83" s="128"/>
      <c r="F83" s="131"/>
      <c r="K83" s="121">
        <v>43282</v>
      </c>
      <c r="M83" s="121">
        <v>43329</v>
      </c>
      <c r="N83" s="121">
        <v>43329</v>
      </c>
      <c r="O83" s="123">
        <f t="shared" si="10"/>
        <v>-47</v>
      </c>
      <c r="P83" s="123">
        <f t="shared" si="11"/>
        <v>0</v>
      </c>
      <c r="Q83" s="123">
        <f aca="true" t="shared" si="16" ref="Q83:Q101">+N83-K83</f>
        <v>47</v>
      </c>
      <c r="R83" s="123">
        <f t="shared" si="12"/>
        <v>17</v>
      </c>
      <c r="S83" s="126">
        <v>29</v>
      </c>
      <c r="T83" s="125">
        <f t="shared" si="13"/>
        <v>0</v>
      </c>
      <c r="U83" s="125">
        <f t="shared" si="14"/>
        <v>25.5</v>
      </c>
      <c r="V83" s="126">
        <f t="shared" si="15"/>
        <v>129</v>
      </c>
      <c r="Y83" s="10"/>
    </row>
    <row r="84" spans="1:25" ht="12.75">
      <c r="A84" s="120" t="s">
        <v>190</v>
      </c>
      <c r="B84" s="121">
        <v>43312</v>
      </c>
      <c r="C84" s="120" t="s">
        <v>429</v>
      </c>
      <c r="D84" s="135">
        <v>122.31</v>
      </c>
      <c r="E84" s="128"/>
      <c r="F84" s="131"/>
      <c r="K84" s="121">
        <v>43335</v>
      </c>
      <c r="M84" s="121">
        <v>43343</v>
      </c>
      <c r="N84" s="121">
        <v>43343</v>
      </c>
      <c r="O84" s="123">
        <f t="shared" si="10"/>
        <v>-8</v>
      </c>
      <c r="P84" s="123">
        <f t="shared" si="11"/>
        <v>0</v>
      </c>
      <c r="Q84" s="123">
        <f t="shared" si="16"/>
        <v>8</v>
      </c>
      <c r="R84" s="123">
        <f t="shared" si="12"/>
        <v>-22</v>
      </c>
      <c r="S84" s="126">
        <v>29</v>
      </c>
      <c r="T84" s="125">
        <f t="shared" si="13"/>
        <v>0</v>
      </c>
      <c r="U84" s="125">
        <f t="shared" si="14"/>
        <v>-2690.82</v>
      </c>
      <c r="V84" s="126">
        <f t="shared" si="15"/>
        <v>129</v>
      </c>
      <c r="Y84" s="10"/>
    </row>
    <row r="85" spans="1:25" ht="12.75">
      <c r="A85" s="120" t="s">
        <v>191</v>
      </c>
      <c r="B85" s="121">
        <v>43315</v>
      </c>
      <c r="C85" s="120" t="s">
        <v>430</v>
      </c>
      <c r="D85" s="135">
        <v>387.2</v>
      </c>
      <c r="E85" s="128"/>
      <c r="F85" s="131"/>
      <c r="K85" s="121">
        <v>43335</v>
      </c>
      <c r="M85" s="121">
        <v>43340</v>
      </c>
      <c r="N85" s="121">
        <v>43340</v>
      </c>
      <c r="O85" s="123">
        <f t="shared" si="10"/>
        <v>-5</v>
      </c>
      <c r="P85" s="123">
        <f t="shared" si="11"/>
        <v>0</v>
      </c>
      <c r="Q85" s="123">
        <f t="shared" si="16"/>
        <v>5</v>
      </c>
      <c r="R85" s="123">
        <f t="shared" si="12"/>
        <v>-25</v>
      </c>
      <c r="S85" s="126">
        <v>29</v>
      </c>
      <c r="T85" s="125">
        <f t="shared" si="13"/>
        <v>0</v>
      </c>
      <c r="U85" s="125">
        <f t="shared" si="14"/>
        <v>-9680</v>
      </c>
      <c r="V85" s="126">
        <f t="shared" si="15"/>
        <v>129</v>
      </c>
      <c r="Y85" s="10"/>
    </row>
    <row r="86" spans="1:25" ht="12.75">
      <c r="A86" s="120" t="s">
        <v>192</v>
      </c>
      <c r="B86" s="121">
        <v>43282</v>
      </c>
      <c r="C86" s="120" t="s">
        <v>431</v>
      </c>
      <c r="D86" s="135">
        <v>169.4</v>
      </c>
      <c r="E86" s="128"/>
      <c r="F86" s="131"/>
      <c r="K86" s="121">
        <v>43282</v>
      </c>
      <c r="M86" s="121">
        <v>43341</v>
      </c>
      <c r="N86" s="121">
        <v>43341</v>
      </c>
      <c r="O86" s="123">
        <f t="shared" si="10"/>
        <v>-59</v>
      </c>
      <c r="P86" s="123">
        <f t="shared" si="11"/>
        <v>0</v>
      </c>
      <c r="Q86" s="123">
        <f t="shared" si="16"/>
        <v>59</v>
      </c>
      <c r="R86" s="123">
        <f t="shared" si="12"/>
        <v>29</v>
      </c>
      <c r="S86" s="126">
        <v>21</v>
      </c>
      <c r="T86" s="125">
        <f t="shared" si="13"/>
        <v>0</v>
      </c>
      <c r="U86" s="125">
        <f t="shared" si="14"/>
        <v>4912.6</v>
      </c>
      <c r="V86" s="126">
        <f t="shared" si="15"/>
        <v>121</v>
      </c>
      <c r="Y86" s="10"/>
    </row>
    <row r="87" spans="1:25" ht="12.75">
      <c r="A87" s="120" t="s">
        <v>193</v>
      </c>
      <c r="B87" s="121">
        <v>43297</v>
      </c>
      <c r="C87" s="120" t="s">
        <v>432</v>
      </c>
      <c r="D87" s="135">
        <v>1400</v>
      </c>
      <c r="E87" s="128"/>
      <c r="F87" s="131"/>
      <c r="K87" s="121">
        <v>43341</v>
      </c>
      <c r="M87" s="121">
        <v>43341</v>
      </c>
      <c r="N87" s="121">
        <v>43341</v>
      </c>
      <c r="O87" s="123">
        <f t="shared" si="10"/>
        <v>0</v>
      </c>
      <c r="P87" s="123">
        <f t="shared" si="11"/>
        <v>0</v>
      </c>
      <c r="Q87" s="123">
        <f t="shared" si="16"/>
        <v>0</v>
      </c>
      <c r="R87" s="123">
        <f t="shared" si="12"/>
        <v>-30</v>
      </c>
      <c r="S87" s="126">
        <v>29</v>
      </c>
      <c r="T87" s="125">
        <f t="shared" si="13"/>
        <v>0</v>
      </c>
      <c r="U87" s="125">
        <f t="shared" si="14"/>
        <v>-42000</v>
      </c>
      <c r="V87" s="126">
        <f t="shared" si="15"/>
        <v>129</v>
      </c>
      <c r="Y87" s="10"/>
    </row>
    <row r="88" spans="1:25" ht="12.75">
      <c r="A88" s="120" t="s">
        <v>194</v>
      </c>
      <c r="B88" s="121">
        <v>43282</v>
      </c>
      <c r="C88" s="120" t="s">
        <v>433</v>
      </c>
      <c r="D88" s="135">
        <v>726</v>
      </c>
      <c r="E88" s="128"/>
      <c r="F88" s="131"/>
      <c r="K88" s="121">
        <v>43282</v>
      </c>
      <c r="M88" s="121">
        <v>43341</v>
      </c>
      <c r="N88" s="121">
        <v>43341</v>
      </c>
      <c r="O88" s="123">
        <f t="shared" si="10"/>
        <v>-59</v>
      </c>
      <c r="P88" s="123">
        <f t="shared" si="11"/>
        <v>0</v>
      </c>
      <c r="Q88" s="123">
        <f t="shared" si="16"/>
        <v>59</v>
      </c>
      <c r="R88" s="123">
        <f t="shared" si="12"/>
        <v>29</v>
      </c>
      <c r="S88" s="126">
        <v>29</v>
      </c>
      <c r="T88" s="125">
        <f t="shared" si="13"/>
        <v>0</v>
      </c>
      <c r="U88" s="125">
        <f t="shared" si="14"/>
        <v>21054</v>
      </c>
      <c r="V88" s="126">
        <f t="shared" si="15"/>
        <v>129</v>
      </c>
      <c r="Y88" s="10"/>
    </row>
    <row r="89" spans="1:25" ht="12.75">
      <c r="A89" s="120" t="s">
        <v>195</v>
      </c>
      <c r="B89" s="121">
        <v>43341</v>
      </c>
      <c r="C89" s="120" t="s">
        <v>434</v>
      </c>
      <c r="D89" s="135">
        <v>175.09</v>
      </c>
      <c r="E89" s="128"/>
      <c r="F89" s="131"/>
      <c r="K89" s="121">
        <v>43346</v>
      </c>
      <c r="M89" s="121">
        <v>43356</v>
      </c>
      <c r="N89" s="121">
        <v>43356</v>
      </c>
      <c r="O89" s="123">
        <f t="shared" si="10"/>
        <v>-10</v>
      </c>
      <c r="P89" s="123">
        <f t="shared" si="11"/>
        <v>0</v>
      </c>
      <c r="Q89" s="123">
        <f t="shared" si="16"/>
        <v>10</v>
      </c>
      <c r="R89" s="123">
        <f t="shared" si="12"/>
        <v>-20</v>
      </c>
      <c r="S89" s="126">
        <v>29</v>
      </c>
      <c r="T89" s="125">
        <f t="shared" si="13"/>
        <v>0</v>
      </c>
      <c r="U89" s="125">
        <f t="shared" si="14"/>
        <v>-3501.8</v>
      </c>
      <c r="V89" s="126">
        <f t="shared" si="15"/>
        <v>129</v>
      </c>
      <c r="Y89" s="10"/>
    </row>
    <row r="90" spans="1:25" ht="12.75">
      <c r="A90" s="120" t="s">
        <v>196</v>
      </c>
      <c r="B90" s="121">
        <v>43336</v>
      </c>
      <c r="C90" s="120" t="s">
        <v>435</v>
      </c>
      <c r="D90" s="135">
        <v>154.28</v>
      </c>
      <c r="E90" s="128"/>
      <c r="F90" s="131"/>
      <c r="K90" s="121">
        <v>43346</v>
      </c>
      <c r="M90" s="121">
        <v>43356</v>
      </c>
      <c r="N90" s="121">
        <v>43356</v>
      </c>
      <c r="O90" s="123">
        <f t="shared" si="10"/>
        <v>-10</v>
      </c>
      <c r="P90" s="123">
        <f t="shared" si="11"/>
        <v>0</v>
      </c>
      <c r="Q90" s="123">
        <f t="shared" si="16"/>
        <v>10</v>
      </c>
      <c r="R90" s="123">
        <f t="shared" si="12"/>
        <v>-20</v>
      </c>
      <c r="S90" s="126">
        <v>21</v>
      </c>
      <c r="T90" s="125">
        <f t="shared" si="13"/>
        <v>0</v>
      </c>
      <c r="U90" s="125">
        <f t="shared" si="14"/>
        <v>-3085.6</v>
      </c>
      <c r="V90" s="126">
        <f t="shared" si="15"/>
        <v>121</v>
      </c>
      <c r="Y90" s="10"/>
    </row>
    <row r="91" spans="1:25" ht="12.75">
      <c r="A91" s="120" t="s">
        <v>197</v>
      </c>
      <c r="B91" s="121">
        <v>43312</v>
      </c>
      <c r="C91" s="120" t="s">
        <v>436</v>
      </c>
      <c r="D91" s="135">
        <v>1108.17</v>
      </c>
      <c r="E91" s="128"/>
      <c r="F91" s="131"/>
      <c r="K91" s="121">
        <v>43312</v>
      </c>
      <c r="M91" s="121">
        <v>43313</v>
      </c>
      <c r="N91" s="121">
        <v>43313</v>
      </c>
      <c r="O91" s="123">
        <f t="shared" si="10"/>
        <v>-1</v>
      </c>
      <c r="P91" s="123">
        <f t="shared" si="11"/>
        <v>0</v>
      </c>
      <c r="Q91" s="123">
        <f t="shared" si="16"/>
        <v>1</v>
      </c>
      <c r="R91" s="123">
        <f t="shared" si="12"/>
        <v>-29</v>
      </c>
      <c r="S91" s="126">
        <v>29</v>
      </c>
      <c r="T91" s="125">
        <f t="shared" si="13"/>
        <v>0</v>
      </c>
      <c r="U91" s="125">
        <f t="shared" si="14"/>
        <v>-32136.93</v>
      </c>
      <c r="V91" s="126">
        <f t="shared" si="15"/>
        <v>129</v>
      </c>
      <c r="Y91" s="10"/>
    </row>
    <row r="92" spans="1:25" ht="12.75">
      <c r="A92" s="120" t="s">
        <v>198</v>
      </c>
      <c r="B92" s="121">
        <v>43373</v>
      </c>
      <c r="C92" s="120" t="s">
        <v>437</v>
      </c>
      <c r="D92" s="135">
        <v>4320</v>
      </c>
      <c r="E92" s="128"/>
      <c r="F92" s="131"/>
      <c r="K92" s="121">
        <v>43373</v>
      </c>
      <c r="M92" s="121">
        <v>43371</v>
      </c>
      <c r="N92" s="121">
        <v>43371</v>
      </c>
      <c r="O92" s="123">
        <f t="shared" si="10"/>
        <v>2</v>
      </c>
      <c r="P92" s="123">
        <f t="shared" si="11"/>
        <v>0</v>
      </c>
      <c r="Q92" s="123">
        <f t="shared" si="16"/>
        <v>-2</v>
      </c>
      <c r="R92" s="123">
        <f t="shared" si="12"/>
        <v>-32</v>
      </c>
      <c r="S92" s="126">
        <v>29</v>
      </c>
      <c r="T92" s="125">
        <f t="shared" si="13"/>
        <v>0</v>
      </c>
      <c r="U92" s="125">
        <f t="shared" si="14"/>
        <v>-138240</v>
      </c>
      <c r="V92" s="126">
        <f t="shared" si="15"/>
        <v>129</v>
      </c>
      <c r="Y92" s="10"/>
    </row>
    <row r="93" spans="1:25" ht="12.75">
      <c r="A93" s="120" t="s">
        <v>199</v>
      </c>
      <c r="B93" s="121">
        <v>43343</v>
      </c>
      <c r="C93" s="120" t="s">
        <v>438</v>
      </c>
      <c r="D93" s="135">
        <v>714.44</v>
      </c>
      <c r="E93" s="128"/>
      <c r="F93" s="131"/>
      <c r="K93" s="121">
        <v>43347</v>
      </c>
      <c r="M93" s="121">
        <v>43356</v>
      </c>
      <c r="N93" s="121">
        <v>43356</v>
      </c>
      <c r="O93" s="123">
        <f t="shared" si="10"/>
        <v>-9</v>
      </c>
      <c r="P93" s="123">
        <f t="shared" si="11"/>
        <v>0</v>
      </c>
      <c r="Q93" s="123">
        <f t="shared" si="16"/>
        <v>9</v>
      </c>
      <c r="R93" s="123">
        <f t="shared" si="12"/>
        <v>-21</v>
      </c>
      <c r="S93" s="126">
        <v>29</v>
      </c>
      <c r="T93" s="125">
        <f t="shared" si="13"/>
        <v>0</v>
      </c>
      <c r="U93" s="125">
        <f t="shared" si="14"/>
        <v>-15003.240000000002</v>
      </c>
      <c r="V93" s="126">
        <f t="shared" si="15"/>
        <v>129</v>
      </c>
      <c r="Y93" s="10"/>
    </row>
    <row r="94" spans="1:25" ht="12.75">
      <c r="A94" s="120" t="s">
        <v>200</v>
      </c>
      <c r="B94" s="121">
        <v>43332</v>
      </c>
      <c r="C94" s="120" t="s">
        <v>439</v>
      </c>
      <c r="D94" s="135">
        <v>4652.16</v>
      </c>
      <c r="E94" s="128"/>
      <c r="F94" s="131"/>
      <c r="K94" s="121">
        <v>43348</v>
      </c>
      <c r="M94" s="121">
        <v>43362</v>
      </c>
      <c r="N94" s="121">
        <v>43362</v>
      </c>
      <c r="O94" s="123">
        <f t="shared" si="10"/>
        <v>-14</v>
      </c>
      <c r="P94" s="123">
        <f t="shared" si="11"/>
        <v>0</v>
      </c>
      <c r="Q94" s="123">
        <f t="shared" si="16"/>
        <v>14</v>
      </c>
      <c r="R94" s="123">
        <f t="shared" si="12"/>
        <v>-16</v>
      </c>
      <c r="S94" s="126">
        <v>29</v>
      </c>
      <c r="T94" s="125">
        <f t="shared" si="13"/>
        <v>0</v>
      </c>
      <c r="U94" s="125">
        <f t="shared" si="14"/>
        <v>-74434.56</v>
      </c>
      <c r="V94" s="126">
        <f t="shared" si="15"/>
        <v>129</v>
      </c>
      <c r="Y94" s="10"/>
    </row>
    <row r="95" spans="1:25" ht="12.75">
      <c r="A95" s="120" t="s">
        <v>201</v>
      </c>
      <c r="B95" s="121">
        <v>43342</v>
      </c>
      <c r="C95" s="120" t="s">
        <v>440</v>
      </c>
      <c r="D95" s="135">
        <v>248</v>
      </c>
      <c r="E95" s="128"/>
      <c r="F95" s="131"/>
      <c r="K95" s="121">
        <v>43348</v>
      </c>
      <c r="M95" s="121">
        <v>43353</v>
      </c>
      <c r="N95" s="121">
        <v>43353</v>
      </c>
      <c r="O95" s="123">
        <f t="shared" si="10"/>
        <v>-5</v>
      </c>
      <c r="P95" s="123">
        <f t="shared" si="11"/>
        <v>0</v>
      </c>
      <c r="Q95" s="123">
        <f t="shared" si="16"/>
        <v>5</v>
      </c>
      <c r="R95" s="123">
        <f t="shared" si="12"/>
        <v>-25</v>
      </c>
      <c r="S95" s="126">
        <v>69</v>
      </c>
      <c r="T95" s="125">
        <f t="shared" si="13"/>
        <v>0</v>
      </c>
      <c r="U95" s="125">
        <f t="shared" si="14"/>
        <v>-6200</v>
      </c>
      <c r="V95" s="126">
        <f t="shared" si="15"/>
        <v>169</v>
      </c>
      <c r="Y95" s="10"/>
    </row>
    <row r="96" spans="1:25" ht="12.75">
      <c r="A96" s="120" t="s">
        <v>202</v>
      </c>
      <c r="B96" s="121">
        <v>43298</v>
      </c>
      <c r="C96" s="120" t="s">
        <v>441</v>
      </c>
      <c r="D96" s="135">
        <v>248</v>
      </c>
      <c r="E96" s="128"/>
      <c r="F96" s="131"/>
      <c r="K96" s="121">
        <v>43301</v>
      </c>
      <c r="M96" s="121">
        <v>43306</v>
      </c>
      <c r="N96" s="121">
        <v>43306</v>
      </c>
      <c r="O96" s="123">
        <f t="shared" si="10"/>
        <v>-5</v>
      </c>
      <c r="P96" s="123">
        <f t="shared" si="11"/>
        <v>0</v>
      </c>
      <c r="Q96" s="123">
        <f t="shared" si="16"/>
        <v>5</v>
      </c>
      <c r="R96" s="123">
        <f t="shared" si="12"/>
        <v>-25</v>
      </c>
      <c r="S96" s="126">
        <v>69</v>
      </c>
      <c r="T96" s="125">
        <f t="shared" si="13"/>
        <v>0</v>
      </c>
      <c r="U96" s="125">
        <f t="shared" si="14"/>
        <v>-6200</v>
      </c>
      <c r="V96" s="126">
        <f t="shared" si="15"/>
        <v>169</v>
      </c>
      <c r="Y96" s="10"/>
    </row>
    <row r="97" spans="1:25" ht="12.75">
      <c r="A97" s="120" t="s">
        <v>203</v>
      </c>
      <c r="B97" s="121">
        <v>43342</v>
      </c>
      <c r="C97" s="120" t="s">
        <v>442</v>
      </c>
      <c r="D97" s="135">
        <v>36.19</v>
      </c>
      <c r="E97" s="128"/>
      <c r="F97" s="131"/>
      <c r="K97" s="121">
        <v>43348</v>
      </c>
      <c r="M97" s="121">
        <v>43361</v>
      </c>
      <c r="N97" s="121">
        <v>43361</v>
      </c>
      <c r="O97" s="123">
        <f t="shared" si="10"/>
        <v>-13</v>
      </c>
      <c r="P97" s="123">
        <f t="shared" si="11"/>
        <v>0</v>
      </c>
      <c r="Q97" s="123">
        <f t="shared" si="16"/>
        <v>13</v>
      </c>
      <c r="R97" s="123">
        <f t="shared" si="12"/>
        <v>-17</v>
      </c>
      <c r="S97" s="126">
        <v>29</v>
      </c>
      <c r="T97" s="125">
        <f t="shared" si="13"/>
        <v>0</v>
      </c>
      <c r="U97" s="125">
        <f t="shared" si="14"/>
        <v>-615.23</v>
      </c>
      <c r="V97" s="126">
        <f t="shared" si="15"/>
        <v>129</v>
      </c>
      <c r="Y97" s="10"/>
    </row>
    <row r="98" spans="1:25" ht="12.75">
      <c r="A98" s="120" t="s">
        <v>204</v>
      </c>
      <c r="B98" s="121">
        <v>43342</v>
      </c>
      <c r="C98" s="120" t="s">
        <v>443</v>
      </c>
      <c r="D98" s="135">
        <v>23.07</v>
      </c>
      <c r="E98" s="128"/>
      <c r="F98" s="131"/>
      <c r="K98" s="121">
        <v>43348</v>
      </c>
      <c r="M98" s="121">
        <v>43361</v>
      </c>
      <c r="N98" s="121">
        <v>43361</v>
      </c>
      <c r="O98" s="123">
        <f t="shared" si="10"/>
        <v>-13</v>
      </c>
      <c r="P98" s="123">
        <f t="shared" si="11"/>
        <v>0</v>
      </c>
      <c r="Q98" s="123">
        <f t="shared" si="16"/>
        <v>13</v>
      </c>
      <c r="R98" s="123">
        <f t="shared" si="12"/>
        <v>-17</v>
      </c>
      <c r="S98" s="126">
        <v>29</v>
      </c>
      <c r="T98" s="125">
        <f t="shared" si="13"/>
        <v>0</v>
      </c>
      <c r="U98" s="125">
        <f t="shared" si="14"/>
        <v>-392.19</v>
      </c>
      <c r="V98" s="126">
        <f t="shared" si="15"/>
        <v>129</v>
      </c>
      <c r="Y98" s="10"/>
    </row>
    <row r="99" spans="1:25" ht="12.75">
      <c r="A99" s="120" t="s">
        <v>205</v>
      </c>
      <c r="B99" s="121">
        <v>43342</v>
      </c>
      <c r="C99" s="120" t="s">
        <v>444</v>
      </c>
      <c r="D99" s="135">
        <v>17.92</v>
      </c>
      <c r="E99" s="128"/>
      <c r="F99" s="131"/>
      <c r="K99" s="121">
        <v>43348</v>
      </c>
      <c r="M99" s="121">
        <v>43361</v>
      </c>
      <c r="N99" s="121">
        <v>43361</v>
      </c>
      <c r="O99" s="123">
        <f t="shared" si="10"/>
        <v>-13</v>
      </c>
      <c r="P99" s="123">
        <f t="shared" si="11"/>
        <v>0</v>
      </c>
      <c r="Q99" s="123">
        <f t="shared" si="16"/>
        <v>13</v>
      </c>
      <c r="R99" s="123">
        <f t="shared" si="12"/>
        <v>-17</v>
      </c>
      <c r="S99" s="126">
        <v>29</v>
      </c>
      <c r="T99" s="125">
        <f t="shared" si="13"/>
        <v>0</v>
      </c>
      <c r="U99" s="125">
        <f t="shared" si="14"/>
        <v>-304.64000000000004</v>
      </c>
      <c r="V99" s="126">
        <f t="shared" si="15"/>
        <v>129</v>
      </c>
      <c r="Y99" s="10"/>
    </row>
    <row r="100" spans="1:25" ht="12.75">
      <c r="A100" s="120" t="s">
        <v>206</v>
      </c>
      <c r="B100" s="121">
        <v>43342</v>
      </c>
      <c r="C100" s="120" t="s">
        <v>445</v>
      </c>
      <c r="D100" s="135">
        <v>19.44</v>
      </c>
      <c r="E100" s="128"/>
      <c r="F100" s="131"/>
      <c r="K100" s="121">
        <v>43348</v>
      </c>
      <c r="M100" s="121">
        <v>43361</v>
      </c>
      <c r="N100" s="121">
        <v>43361</v>
      </c>
      <c r="O100" s="123">
        <f t="shared" si="10"/>
        <v>-13</v>
      </c>
      <c r="P100" s="123">
        <f t="shared" si="11"/>
        <v>0</v>
      </c>
      <c r="Q100" s="123">
        <f t="shared" si="16"/>
        <v>13</v>
      </c>
      <c r="R100" s="123">
        <f t="shared" si="12"/>
        <v>-17</v>
      </c>
      <c r="S100" s="126">
        <v>29</v>
      </c>
      <c r="T100" s="125">
        <f t="shared" si="13"/>
        <v>0</v>
      </c>
      <c r="U100" s="125">
        <f t="shared" si="14"/>
        <v>-330.48</v>
      </c>
      <c r="V100" s="126">
        <f t="shared" si="15"/>
        <v>129</v>
      </c>
      <c r="Y100" s="10"/>
    </row>
    <row r="101" spans="1:25" ht="12.75">
      <c r="A101" s="120" t="s">
        <v>207</v>
      </c>
      <c r="B101" s="121">
        <v>43342</v>
      </c>
      <c r="C101" s="120" t="s">
        <v>446</v>
      </c>
      <c r="D101" s="135">
        <v>35.42</v>
      </c>
      <c r="E101" s="128"/>
      <c r="F101" s="131"/>
      <c r="K101" s="121">
        <v>43348</v>
      </c>
      <c r="M101" s="121">
        <v>43361</v>
      </c>
      <c r="N101" s="121">
        <v>43361</v>
      </c>
      <c r="O101" s="123">
        <f t="shared" si="10"/>
        <v>-13</v>
      </c>
      <c r="P101" s="123">
        <f t="shared" si="11"/>
        <v>0</v>
      </c>
      <c r="Q101" s="123">
        <f t="shared" si="16"/>
        <v>13</v>
      </c>
      <c r="R101" s="123">
        <f t="shared" si="12"/>
        <v>-17</v>
      </c>
      <c r="S101" s="126">
        <v>29</v>
      </c>
      <c r="T101" s="125">
        <f t="shared" si="13"/>
        <v>0</v>
      </c>
      <c r="U101" s="125">
        <f t="shared" si="14"/>
        <v>-602.14</v>
      </c>
      <c r="V101" s="126">
        <f t="shared" si="15"/>
        <v>129</v>
      </c>
      <c r="Y101" s="10"/>
    </row>
    <row r="102" spans="1:25" ht="12.75">
      <c r="A102" s="120" t="s">
        <v>208</v>
      </c>
      <c r="B102" s="121">
        <v>43342</v>
      </c>
      <c r="C102" s="120" t="s">
        <v>447</v>
      </c>
      <c r="D102" s="135">
        <v>26.74</v>
      </c>
      <c r="E102" s="128"/>
      <c r="F102" s="131"/>
      <c r="K102" s="121">
        <v>43348</v>
      </c>
      <c r="M102" s="121">
        <v>43361</v>
      </c>
      <c r="N102" s="121">
        <v>43361</v>
      </c>
      <c r="O102" s="123">
        <f t="shared" si="10"/>
        <v>-13</v>
      </c>
      <c r="P102" s="123">
        <f t="shared" si="11"/>
        <v>0</v>
      </c>
      <c r="Q102" s="123">
        <f aca="true" t="shared" si="17" ref="Q102:Q113">+N102-K102</f>
        <v>13</v>
      </c>
      <c r="R102" s="123">
        <f t="shared" si="12"/>
        <v>-17</v>
      </c>
      <c r="S102" s="126">
        <v>29</v>
      </c>
      <c r="T102" s="125">
        <f t="shared" si="13"/>
        <v>0</v>
      </c>
      <c r="U102" s="125">
        <f t="shared" si="14"/>
        <v>-454.58</v>
      </c>
      <c r="V102" s="126">
        <f t="shared" si="15"/>
        <v>129</v>
      </c>
      <c r="Y102" s="10"/>
    </row>
    <row r="103" spans="1:25" ht="12.75">
      <c r="A103" s="120" t="s">
        <v>209</v>
      </c>
      <c r="B103" s="121">
        <v>43343</v>
      </c>
      <c r="C103" s="120" t="s">
        <v>448</v>
      </c>
      <c r="D103" s="135">
        <v>217.8</v>
      </c>
      <c r="E103" s="128"/>
      <c r="F103" s="131"/>
      <c r="K103" s="121">
        <v>43348</v>
      </c>
      <c r="M103" s="121">
        <v>43356</v>
      </c>
      <c r="N103" s="121">
        <v>43356</v>
      </c>
      <c r="O103" s="123">
        <f t="shared" si="10"/>
        <v>-8</v>
      </c>
      <c r="P103" s="123">
        <f t="shared" si="11"/>
        <v>0</v>
      </c>
      <c r="Q103" s="123">
        <f t="shared" si="17"/>
        <v>8</v>
      </c>
      <c r="R103" s="123">
        <f t="shared" si="12"/>
        <v>-22</v>
      </c>
      <c r="S103" s="126">
        <v>29</v>
      </c>
      <c r="T103" s="125">
        <f t="shared" si="13"/>
        <v>0</v>
      </c>
      <c r="U103" s="125">
        <f t="shared" si="14"/>
        <v>-4791.6</v>
      </c>
      <c r="V103" s="126">
        <f t="shared" si="15"/>
        <v>129</v>
      </c>
      <c r="Y103" s="10"/>
    </row>
    <row r="104" spans="1:25" ht="12.75">
      <c r="A104" s="136" t="s">
        <v>210</v>
      </c>
      <c r="B104" s="127">
        <v>43343</v>
      </c>
      <c r="C104" s="136" t="s">
        <v>449</v>
      </c>
      <c r="D104" s="137">
        <v>118.46</v>
      </c>
      <c r="E104" s="128"/>
      <c r="F104" s="131"/>
      <c r="K104" s="127">
        <v>43349</v>
      </c>
      <c r="M104" s="127">
        <v>43356</v>
      </c>
      <c r="N104" s="127">
        <v>43356</v>
      </c>
      <c r="O104" s="123">
        <f t="shared" si="10"/>
        <v>-7</v>
      </c>
      <c r="P104" s="123">
        <f t="shared" si="11"/>
        <v>0</v>
      </c>
      <c r="Q104" s="123">
        <f t="shared" si="17"/>
        <v>7</v>
      </c>
      <c r="R104" s="123">
        <f t="shared" si="12"/>
        <v>-23</v>
      </c>
      <c r="S104" s="126">
        <v>29</v>
      </c>
      <c r="T104" s="125">
        <f t="shared" si="13"/>
        <v>0</v>
      </c>
      <c r="U104" s="125">
        <f t="shared" si="14"/>
        <v>-2724.58</v>
      </c>
      <c r="V104" s="126">
        <f t="shared" si="15"/>
        <v>129</v>
      </c>
      <c r="Y104" s="10"/>
    </row>
    <row r="105" spans="1:25" ht="12.75">
      <c r="A105" s="120" t="s">
        <v>211</v>
      </c>
      <c r="B105" s="121">
        <v>43345</v>
      </c>
      <c r="C105" s="120" t="s">
        <v>450</v>
      </c>
      <c r="D105" s="135">
        <v>-3.75</v>
      </c>
      <c r="E105" s="128"/>
      <c r="F105" s="131"/>
      <c r="K105" s="121">
        <v>43345</v>
      </c>
      <c r="M105" s="121">
        <v>43354</v>
      </c>
      <c r="N105" s="121">
        <v>43354</v>
      </c>
      <c r="O105" s="123">
        <f t="shared" si="10"/>
        <v>-9</v>
      </c>
      <c r="P105" s="123">
        <f t="shared" si="11"/>
        <v>0</v>
      </c>
      <c r="Q105" s="123">
        <f t="shared" si="17"/>
        <v>9</v>
      </c>
      <c r="R105" s="123">
        <f t="shared" si="12"/>
        <v>-21</v>
      </c>
      <c r="S105" s="126">
        <v>29</v>
      </c>
      <c r="T105" s="125">
        <f t="shared" si="13"/>
        <v>0</v>
      </c>
      <c r="U105" s="125">
        <f t="shared" si="14"/>
        <v>78.75</v>
      </c>
      <c r="V105" s="126">
        <f t="shared" si="15"/>
        <v>129</v>
      </c>
      <c r="Y105" s="10"/>
    </row>
    <row r="106" spans="1:25" ht="12.75">
      <c r="A106" s="120" t="s">
        <v>212</v>
      </c>
      <c r="B106" s="121">
        <v>43346</v>
      </c>
      <c r="C106" s="120" t="s">
        <v>451</v>
      </c>
      <c r="D106" s="135">
        <v>363</v>
      </c>
      <c r="E106" s="128"/>
      <c r="F106" s="131"/>
      <c r="K106" s="121">
        <v>43349</v>
      </c>
      <c r="M106" s="121">
        <v>43371</v>
      </c>
      <c r="N106" s="121">
        <v>43371</v>
      </c>
      <c r="O106" s="123">
        <f t="shared" si="10"/>
        <v>-22</v>
      </c>
      <c r="P106" s="123">
        <f t="shared" si="11"/>
        <v>0</v>
      </c>
      <c r="Q106" s="123">
        <f t="shared" si="17"/>
        <v>22</v>
      </c>
      <c r="R106" s="123">
        <f t="shared" si="12"/>
        <v>-8</v>
      </c>
      <c r="S106" s="126">
        <v>21</v>
      </c>
      <c r="T106" s="125">
        <f t="shared" si="13"/>
        <v>0</v>
      </c>
      <c r="U106" s="125">
        <f t="shared" si="14"/>
        <v>-2904</v>
      </c>
      <c r="V106" s="126">
        <f t="shared" si="15"/>
        <v>121</v>
      </c>
      <c r="Y106" s="10"/>
    </row>
    <row r="107" spans="1:25" ht="12.75">
      <c r="A107" s="120" t="s">
        <v>213</v>
      </c>
      <c r="B107" s="121">
        <v>43343</v>
      </c>
      <c r="C107" s="120" t="s">
        <v>452</v>
      </c>
      <c r="D107" s="135">
        <v>1869.45</v>
      </c>
      <c r="E107" s="128"/>
      <c r="F107" s="131"/>
      <c r="K107" s="121">
        <v>43350</v>
      </c>
      <c r="M107" s="121">
        <v>43356</v>
      </c>
      <c r="N107" s="121">
        <v>43356</v>
      </c>
      <c r="O107" s="123">
        <f t="shared" si="10"/>
        <v>-6</v>
      </c>
      <c r="P107" s="123">
        <f t="shared" si="11"/>
        <v>0</v>
      </c>
      <c r="Q107" s="123">
        <f t="shared" si="17"/>
        <v>6</v>
      </c>
      <c r="R107" s="123">
        <f t="shared" si="12"/>
        <v>-24</v>
      </c>
      <c r="S107" s="126">
        <v>29</v>
      </c>
      <c r="T107" s="125">
        <f t="shared" si="13"/>
        <v>0</v>
      </c>
      <c r="U107" s="125">
        <f t="shared" si="14"/>
        <v>-44866.8</v>
      </c>
      <c r="V107" s="126">
        <f t="shared" si="15"/>
        <v>129</v>
      </c>
      <c r="Y107" s="10"/>
    </row>
    <row r="108" spans="1:25" ht="12.75">
      <c r="A108" s="120" t="s">
        <v>214</v>
      </c>
      <c r="B108" s="121">
        <v>43343</v>
      </c>
      <c r="C108" s="120" t="s">
        <v>453</v>
      </c>
      <c r="D108" s="135">
        <v>3055.01</v>
      </c>
      <c r="E108" s="128"/>
      <c r="F108" s="131"/>
      <c r="K108" s="121">
        <v>43350</v>
      </c>
      <c r="M108" s="121">
        <v>43356</v>
      </c>
      <c r="N108" s="121">
        <v>43356</v>
      </c>
      <c r="O108" s="123">
        <f t="shared" si="10"/>
        <v>-6</v>
      </c>
      <c r="P108" s="123">
        <f t="shared" si="11"/>
        <v>0</v>
      </c>
      <c r="Q108" s="123">
        <f t="shared" si="17"/>
        <v>6</v>
      </c>
      <c r="R108" s="123">
        <f t="shared" si="12"/>
        <v>-24</v>
      </c>
      <c r="S108" s="126">
        <v>29</v>
      </c>
      <c r="T108" s="125">
        <f t="shared" si="13"/>
        <v>0</v>
      </c>
      <c r="U108" s="125">
        <f t="shared" si="14"/>
        <v>-73320.24</v>
      </c>
      <c r="V108" s="126">
        <f t="shared" si="15"/>
        <v>129</v>
      </c>
      <c r="Y108" s="10"/>
    </row>
    <row r="109" spans="1:25" ht="12.75">
      <c r="A109" s="120" t="s">
        <v>215</v>
      </c>
      <c r="B109" s="121">
        <v>43343</v>
      </c>
      <c r="C109" s="120" t="s">
        <v>454</v>
      </c>
      <c r="D109" s="135">
        <v>655.42</v>
      </c>
      <c r="E109" s="128"/>
      <c r="F109" s="131"/>
      <c r="K109" s="121">
        <v>43350</v>
      </c>
      <c r="M109" s="121">
        <v>43356</v>
      </c>
      <c r="N109" s="121">
        <v>43356</v>
      </c>
      <c r="O109" s="123">
        <f t="shared" si="10"/>
        <v>-6</v>
      </c>
      <c r="P109" s="123">
        <f t="shared" si="11"/>
        <v>0</v>
      </c>
      <c r="Q109" s="123">
        <f t="shared" si="17"/>
        <v>6</v>
      </c>
      <c r="R109" s="123">
        <f t="shared" si="12"/>
        <v>-24</v>
      </c>
      <c r="S109" s="126">
        <v>29</v>
      </c>
      <c r="T109" s="125">
        <f t="shared" si="13"/>
        <v>0</v>
      </c>
      <c r="U109" s="125">
        <f t="shared" si="14"/>
        <v>-15730.079999999998</v>
      </c>
      <c r="V109" s="126">
        <f t="shared" si="15"/>
        <v>129</v>
      </c>
      <c r="Y109" s="10"/>
    </row>
    <row r="110" spans="1:25" ht="12.75">
      <c r="A110" s="120" t="s">
        <v>216</v>
      </c>
      <c r="B110" s="121">
        <v>43318</v>
      </c>
      <c r="C110" s="120" t="s">
        <v>455</v>
      </c>
      <c r="D110" s="135">
        <v>960.52</v>
      </c>
      <c r="E110" s="128"/>
      <c r="F110" s="131"/>
      <c r="K110" s="121">
        <v>43353</v>
      </c>
      <c r="M110" s="121">
        <v>43356</v>
      </c>
      <c r="N110" s="121">
        <v>43356</v>
      </c>
      <c r="O110" s="123">
        <f t="shared" si="10"/>
        <v>-3</v>
      </c>
      <c r="P110" s="123">
        <f t="shared" si="11"/>
        <v>0</v>
      </c>
      <c r="Q110" s="123">
        <f t="shared" si="17"/>
        <v>3</v>
      </c>
      <c r="R110" s="123">
        <f t="shared" si="12"/>
        <v>-27</v>
      </c>
      <c r="S110" s="126">
        <v>29</v>
      </c>
      <c r="T110" s="125">
        <f t="shared" si="13"/>
        <v>0</v>
      </c>
      <c r="U110" s="125">
        <f t="shared" si="14"/>
        <v>-25934.04</v>
      </c>
      <c r="V110" s="126">
        <f t="shared" si="15"/>
        <v>129</v>
      </c>
      <c r="Y110" s="10"/>
    </row>
    <row r="111" spans="1:25" ht="12.75">
      <c r="A111" s="120" t="s">
        <v>217</v>
      </c>
      <c r="B111" s="121">
        <v>43301</v>
      </c>
      <c r="C111" s="120" t="s">
        <v>456</v>
      </c>
      <c r="D111" s="135">
        <v>30</v>
      </c>
      <c r="E111" s="128"/>
      <c r="F111" s="131"/>
      <c r="K111" s="121">
        <v>43300</v>
      </c>
      <c r="M111" s="121">
        <v>43300</v>
      </c>
      <c r="N111" s="121">
        <v>43300</v>
      </c>
      <c r="O111" s="123">
        <f t="shared" si="10"/>
        <v>0</v>
      </c>
      <c r="P111" s="123">
        <f t="shared" si="11"/>
        <v>0</v>
      </c>
      <c r="Q111" s="123">
        <f t="shared" si="17"/>
        <v>0</v>
      </c>
      <c r="R111" s="123">
        <f t="shared" si="12"/>
        <v>-30</v>
      </c>
      <c r="S111" s="126">
        <v>29</v>
      </c>
      <c r="T111" s="125">
        <f t="shared" si="13"/>
        <v>0</v>
      </c>
      <c r="U111" s="125">
        <f t="shared" si="14"/>
        <v>-900</v>
      </c>
      <c r="V111" s="126">
        <f t="shared" si="15"/>
        <v>129</v>
      </c>
      <c r="Y111" s="10"/>
    </row>
    <row r="112" spans="1:25" ht="12.75">
      <c r="A112" s="120" t="s">
        <v>218</v>
      </c>
      <c r="B112" s="121">
        <v>43318</v>
      </c>
      <c r="C112" s="120" t="s">
        <v>457</v>
      </c>
      <c r="D112" s="135">
        <v>30</v>
      </c>
      <c r="E112" s="128"/>
      <c r="F112" s="131"/>
      <c r="K112" s="121">
        <v>43315</v>
      </c>
      <c r="M112" s="121">
        <v>43315</v>
      </c>
      <c r="N112" s="121">
        <v>43315</v>
      </c>
      <c r="O112" s="123">
        <f t="shared" si="10"/>
        <v>0</v>
      </c>
      <c r="P112" s="123">
        <f t="shared" si="11"/>
        <v>0</v>
      </c>
      <c r="Q112" s="123">
        <f t="shared" si="17"/>
        <v>0</v>
      </c>
      <c r="R112" s="123">
        <f t="shared" si="12"/>
        <v>-30</v>
      </c>
      <c r="S112" s="126">
        <v>29</v>
      </c>
      <c r="T112" s="125">
        <f t="shared" si="13"/>
        <v>0</v>
      </c>
      <c r="U112" s="125">
        <f t="shared" si="14"/>
        <v>-900</v>
      </c>
      <c r="V112" s="126">
        <f t="shared" si="15"/>
        <v>129</v>
      </c>
      <c r="Y112" s="10"/>
    </row>
    <row r="113" spans="1:25" ht="12.75">
      <c r="A113" s="120" t="s">
        <v>219</v>
      </c>
      <c r="B113" s="121">
        <v>43322</v>
      </c>
      <c r="C113" s="120" t="s">
        <v>458</v>
      </c>
      <c r="D113" s="135">
        <v>1290.54</v>
      </c>
      <c r="E113" s="128"/>
      <c r="F113" s="131"/>
      <c r="K113" s="121">
        <v>43354</v>
      </c>
      <c r="M113" s="121">
        <v>43356</v>
      </c>
      <c r="N113" s="121">
        <v>43356</v>
      </c>
      <c r="O113" s="123">
        <f t="shared" si="10"/>
        <v>-2</v>
      </c>
      <c r="P113" s="123">
        <f t="shared" si="11"/>
        <v>0</v>
      </c>
      <c r="Q113" s="123">
        <f t="shared" si="17"/>
        <v>2</v>
      </c>
      <c r="R113" s="123">
        <f t="shared" si="12"/>
        <v>-28</v>
      </c>
      <c r="S113" s="126">
        <v>29</v>
      </c>
      <c r="T113" s="125">
        <f t="shared" si="13"/>
        <v>0</v>
      </c>
      <c r="U113" s="125">
        <f t="shared" si="14"/>
        <v>-36135.119999999995</v>
      </c>
      <c r="V113" s="126">
        <f t="shared" si="15"/>
        <v>129</v>
      </c>
      <c r="Y113" s="10"/>
    </row>
    <row r="114" spans="1:25" ht="12.75">
      <c r="A114" s="120" t="s">
        <v>220</v>
      </c>
      <c r="B114" s="121">
        <v>43344</v>
      </c>
      <c r="C114" s="120" t="s">
        <v>459</v>
      </c>
      <c r="D114" s="135">
        <v>59.7</v>
      </c>
      <c r="E114" s="128"/>
      <c r="F114" s="131"/>
      <c r="K114" s="121">
        <v>43344</v>
      </c>
      <c r="M114" s="121">
        <v>43346</v>
      </c>
      <c r="N114" s="121">
        <v>43346</v>
      </c>
      <c r="O114" s="123">
        <f t="shared" si="10"/>
        <v>-2</v>
      </c>
      <c r="P114" s="123">
        <f t="shared" si="11"/>
        <v>0</v>
      </c>
      <c r="Q114" s="123">
        <f aca="true" t="shared" si="18" ref="Q114:Q128">+N114-K114</f>
        <v>2</v>
      </c>
      <c r="R114" s="123">
        <f t="shared" si="12"/>
        <v>-28</v>
      </c>
      <c r="S114" s="126">
        <v>21</v>
      </c>
      <c r="T114" s="125">
        <f t="shared" si="13"/>
        <v>0</v>
      </c>
      <c r="U114" s="125">
        <f t="shared" si="14"/>
        <v>-1671.6000000000001</v>
      </c>
      <c r="V114" s="126">
        <f t="shared" si="15"/>
        <v>121</v>
      </c>
      <c r="Y114" s="10"/>
    </row>
    <row r="115" spans="1:25" ht="12.75">
      <c r="A115" s="120" t="s">
        <v>221</v>
      </c>
      <c r="B115" s="121">
        <v>43346</v>
      </c>
      <c r="C115" s="120" t="s">
        <v>460</v>
      </c>
      <c r="D115" s="135">
        <v>302.5</v>
      </c>
      <c r="E115" s="128"/>
      <c r="F115" s="131"/>
      <c r="K115" s="121">
        <v>43354</v>
      </c>
      <c r="M115" s="121">
        <v>43356</v>
      </c>
      <c r="N115" s="121">
        <v>43356</v>
      </c>
      <c r="O115" s="123">
        <f t="shared" si="10"/>
        <v>-2</v>
      </c>
      <c r="P115" s="123">
        <f t="shared" si="11"/>
        <v>0</v>
      </c>
      <c r="Q115" s="123">
        <f t="shared" si="18"/>
        <v>2</v>
      </c>
      <c r="R115" s="123">
        <f t="shared" si="12"/>
        <v>-28</v>
      </c>
      <c r="S115" s="126">
        <v>21</v>
      </c>
      <c r="T115" s="125">
        <f t="shared" si="13"/>
        <v>0</v>
      </c>
      <c r="U115" s="125">
        <f t="shared" si="14"/>
        <v>-8470</v>
      </c>
      <c r="V115" s="126">
        <f t="shared" si="15"/>
        <v>121</v>
      </c>
      <c r="Y115" s="10"/>
    </row>
    <row r="116" spans="1:25" s="122" customFormat="1" ht="12.75">
      <c r="A116" s="120" t="s">
        <v>222</v>
      </c>
      <c r="B116" s="121">
        <v>43340</v>
      </c>
      <c r="C116" s="120" t="s">
        <v>461</v>
      </c>
      <c r="D116" s="135">
        <v>961.95</v>
      </c>
      <c r="E116" s="128"/>
      <c r="F116" s="131"/>
      <c r="K116" s="121">
        <v>43354</v>
      </c>
      <c r="L116" s="18"/>
      <c r="M116" s="121">
        <v>43356</v>
      </c>
      <c r="N116" s="121">
        <v>43356</v>
      </c>
      <c r="O116" s="123">
        <f t="shared" si="10"/>
        <v>-2</v>
      </c>
      <c r="P116" s="123">
        <f t="shared" si="11"/>
        <v>0</v>
      </c>
      <c r="Q116" s="123">
        <f t="shared" si="18"/>
        <v>2</v>
      </c>
      <c r="R116" s="123">
        <f t="shared" si="12"/>
        <v>-28</v>
      </c>
      <c r="S116" s="126">
        <v>29</v>
      </c>
      <c r="T116" s="125">
        <f t="shared" si="13"/>
        <v>0</v>
      </c>
      <c r="U116" s="125">
        <f t="shared" si="14"/>
        <v>-26934.600000000002</v>
      </c>
      <c r="V116" s="126">
        <f t="shared" si="15"/>
        <v>129</v>
      </c>
      <c r="Y116" s="10"/>
    </row>
    <row r="117" spans="1:25" s="122" customFormat="1" ht="12.75">
      <c r="A117" s="120" t="s">
        <v>223</v>
      </c>
      <c r="B117" s="121">
        <v>43312</v>
      </c>
      <c r="C117" s="120" t="s">
        <v>462</v>
      </c>
      <c r="D117" s="135">
        <v>2818.39</v>
      </c>
      <c r="E117" s="128"/>
      <c r="F117" s="131"/>
      <c r="K117" s="121">
        <v>43354</v>
      </c>
      <c r="L117" s="18"/>
      <c r="M117" s="121">
        <v>43356</v>
      </c>
      <c r="N117" s="121">
        <v>43356</v>
      </c>
      <c r="O117" s="123">
        <f t="shared" si="10"/>
        <v>-2</v>
      </c>
      <c r="P117" s="123">
        <f t="shared" si="11"/>
        <v>0</v>
      </c>
      <c r="Q117" s="123">
        <f t="shared" si="18"/>
        <v>2</v>
      </c>
      <c r="R117" s="123">
        <f t="shared" si="12"/>
        <v>-28</v>
      </c>
      <c r="S117" s="126">
        <v>29</v>
      </c>
      <c r="T117" s="125">
        <f t="shared" si="13"/>
        <v>0</v>
      </c>
      <c r="U117" s="125">
        <f t="shared" si="14"/>
        <v>-78914.92</v>
      </c>
      <c r="V117" s="126">
        <f t="shared" si="15"/>
        <v>129</v>
      </c>
      <c r="Y117" s="10"/>
    </row>
    <row r="118" spans="1:25" s="122" customFormat="1" ht="12.75">
      <c r="A118" s="120" t="s">
        <v>224</v>
      </c>
      <c r="B118" s="121">
        <v>43335</v>
      </c>
      <c r="C118" s="120" t="s">
        <v>463</v>
      </c>
      <c r="D118" s="135">
        <v>205</v>
      </c>
      <c r="E118" s="128"/>
      <c r="F118" s="131"/>
      <c r="K118" s="121">
        <v>43335</v>
      </c>
      <c r="L118" s="18"/>
      <c r="M118" s="121">
        <v>43344</v>
      </c>
      <c r="N118" s="121">
        <v>43344</v>
      </c>
      <c r="O118" s="123">
        <f t="shared" si="10"/>
        <v>-9</v>
      </c>
      <c r="P118" s="123">
        <f t="shared" si="11"/>
        <v>0</v>
      </c>
      <c r="Q118" s="123">
        <f t="shared" si="18"/>
        <v>9</v>
      </c>
      <c r="R118" s="123">
        <f t="shared" si="12"/>
        <v>-21</v>
      </c>
      <c r="S118" s="126">
        <v>29</v>
      </c>
      <c r="T118" s="125">
        <f t="shared" si="13"/>
        <v>0</v>
      </c>
      <c r="U118" s="125">
        <f t="shared" si="14"/>
        <v>-4305</v>
      </c>
      <c r="V118" s="126">
        <f t="shared" si="15"/>
        <v>129</v>
      </c>
      <c r="Y118" s="10"/>
    </row>
    <row r="119" spans="1:25" ht="12.75">
      <c r="A119" s="120" t="s">
        <v>225</v>
      </c>
      <c r="B119" s="121">
        <v>43343</v>
      </c>
      <c r="C119" s="120" t="s">
        <v>464</v>
      </c>
      <c r="D119" s="135">
        <v>222.04</v>
      </c>
      <c r="E119" s="128"/>
      <c r="F119" s="131"/>
      <c r="K119" s="121">
        <v>43343</v>
      </c>
      <c r="M119" s="121">
        <v>43343</v>
      </c>
      <c r="N119" s="121">
        <v>43343</v>
      </c>
      <c r="O119" s="123">
        <f t="shared" si="10"/>
        <v>0</v>
      </c>
      <c r="P119" s="123">
        <f t="shared" si="11"/>
        <v>0</v>
      </c>
      <c r="Q119" s="123">
        <f t="shared" si="18"/>
        <v>0</v>
      </c>
      <c r="R119" s="123">
        <f t="shared" si="12"/>
        <v>-30</v>
      </c>
      <c r="S119" s="126">
        <v>29</v>
      </c>
      <c r="T119" s="125">
        <f t="shared" si="13"/>
        <v>0</v>
      </c>
      <c r="U119" s="125">
        <f t="shared" si="14"/>
        <v>-6661.2</v>
      </c>
      <c r="V119" s="126">
        <f t="shared" si="15"/>
        <v>129</v>
      </c>
      <c r="Y119" s="10"/>
    </row>
    <row r="120" spans="1:25" ht="12.75">
      <c r="A120" s="120" t="s">
        <v>226</v>
      </c>
      <c r="B120" s="121">
        <v>43312</v>
      </c>
      <c r="C120" s="120" t="s">
        <v>465</v>
      </c>
      <c r="D120" s="135">
        <v>222.04</v>
      </c>
      <c r="E120" s="128"/>
      <c r="F120" s="131"/>
      <c r="K120" s="121">
        <v>43312</v>
      </c>
      <c r="M120" s="121">
        <v>43313</v>
      </c>
      <c r="N120" s="121">
        <v>43313</v>
      </c>
      <c r="O120" s="123">
        <f t="shared" si="10"/>
        <v>-1</v>
      </c>
      <c r="P120" s="123">
        <f t="shared" si="11"/>
        <v>0</v>
      </c>
      <c r="Q120" s="123">
        <f t="shared" si="18"/>
        <v>1</v>
      </c>
      <c r="R120" s="123">
        <f t="shared" si="12"/>
        <v>-29</v>
      </c>
      <c r="S120" s="126">
        <v>29</v>
      </c>
      <c r="T120" s="125">
        <f t="shared" si="13"/>
        <v>0</v>
      </c>
      <c r="U120" s="125">
        <f t="shared" si="14"/>
        <v>-6439.16</v>
      </c>
      <c r="V120" s="126">
        <f t="shared" si="15"/>
        <v>129</v>
      </c>
      <c r="Y120" s="10"/>
    </row>
    <row r="121" spans="1:25" ht="12.75">
      <c r="A121" s="120" t="s">
        <v>227</v>
      </c>
      <c r="B121" s="121">
        <v>43343</v>
      </c>
      <c r="C121" s="120" t="s">
        <v>466</v>
      </c>
      <c r="D121" s="135">
        <v>2459.69</v>
      </c>
      <c r="E121" s="128"/>
      <c r="F121" s="131"/>
      <c r="K121" s="121">
        <v>43354</v>
      </c>
      <c r="M121" s="121">
        <v>43356</v>
      </c>
      <c r="N121" s="121">
        <v>43356</v>
      </c>
      <c r="O121" s="123">
        <f t="shared" si="10"/>
        <v>-2</v>
      </c>
      <c r="P121" s="123">
        <f t="shared" si="11"/>
        <v>0</v>
      </c>
      <c r="Q121" s="123">
        <f t="shared" si="18"/>
        <v>2</v>
      </c>
      <c r="R121" s="123">
        <f t="shared" si="12"/>
        <v>-28</v>
      </c>
      <c r="S121" s="126">
        <v>29</v>
      </c>
      <c r="T121" s="125">
        <f t="shared" si="13"/>
        <v>0</v>
      </c>
      <c r="U121" s="125">
        <f t="shared" si="14"/>
        <v>-68871.32</v>
      </c>
      <c r="V121" s="126">
        <f t="shared" si="15"/>
        <v>129</v>
      </c>
      <c r="Y121" s="10"/>
    </row>
    <row r="122" spans="1:25" ht="12.75">
      <c r="A122" s="120" t="s">
        <v>228</v>
      </c>
      <c r="B122" s="121">
        <v>43339</v>
      </c>
      <c r="C122" s="120" t="s">
        <v>467</v>
      </c>
      <c r="D122" s="135">
        <v>286.57</v>
      </c>
      <c r="E122" s="128"/>
      <c r="F122" s="131"/>
      <c r="K122" s="121">
        <v>43354</v>
      </c>
      <c r="M122" s="121">
        <v>43369</v>
      </c>
      <c r="N122" s="121">
        <v>43369</v>
      </c>
      <c r="O122" s="123">
        <f t="shared" si="10"/>
        <v>-15</v>
      </c>
      <c r="P122" s="123">
        <f t="shared" si="11"/>
        <v>0</v>
      </c>
      <c r="Q122" s="123">
        <f t="shared" si="18"/>
        <v>15</v>
      </c>
      <c r="R122" s="123">
        <f t="shared" si="12"/>
        <v>-15</v>
      </c>
      <c r="S122" s="126">
        <v>21</v>
      </c>
      <c r="T122" s="125">
        <f t="shared" si="13"/>
        <v>0</v>
      </c>
      <c r="U122" s="125">
        <f t="shared" si="14"/>
        <v>-4298.55</v>
      </c>
      <c r="V122" s="126">
        <f t="shared" si="15"/>
        <v>121</v>
      </c>
      <c r="Y122" s="10"/>
    </row>
    <row r="123" spans="1:25" ht="12.75">
      <c r="A123" s="120" t="s">
        <v>229</v>
      </c>
      <c r="B123" s="121">
        <v>43312</v>
      </c>
      <c r="C123" s="120" t="s">
        <v>468</v>
      </c>
      <c r="D123" s="135">
        <v>30.88</v>
      </c>
      <c r="E123" s="128"/>
      <c r="F123" s="131"/>
      <c r="K123" s="121">
        <v>43312</v>
      </c>
      <c r="M123" s="121">
        <v>43332</v>
      </c>
      <c r="N123" s="121">
        <v>43332</v>
      </c>
      <c r="O123" s="123">
        <f t="shared" si="10"/>
        <v>-20</v>
      </c>
      <c r="P123" s="123">
        <f t="shared" si="11"/>
        <v>0</v>
      </c>
      <c r="Q123" s="123">
        <f t="shared" si="18"/>
        <v>20</v>
      </c>
      <c r="R123" s="123">
        <f t="shared" si="12"/>
        <v>-10</v>
      </c>
      <c r="S123" s="126">
        <v>29</v>
      </c>
      <c r="T123" s="125">
        <f t="shared" si="13"/>
        <v>0</v>
      </c>
      <c r="U123" s="125">
        <f t="shared" si="14"/>
        <v>-308.8</v>
      </c>
      <c r="V123" s="126">
        <f t="shared" si="15"/>
        <v>129</v>
      </c>
      <c r="Y123" s="10"/>
    </row>
    <row r="124" spans="1:25" s="122" customFormat="1" ht="12.75">
      <c r="A124" s="120" t="s">
        <v>230</v>
      </c>
      <c r="B124" s="121">
        <v>43353</v>
      </c>
      <c r="C124" s="120" t="s">
        <v>469</v>
      </c>
      <c r="D124" s="135">
        <v>261.36</v>
      </c>
      <c r="E124" s="128"/>
      <c r="F124" s="131"/>
      <c r="K124" s="121">
        <v>43354</v>
      </c>
      <c r="L124" s="18"/>
      <c r="M124" s="121">
        <v>43356</v>
      </c>
      <c r="N124" s="121">
        <v>43356</v>
      </c>
      <c r="O124" s="123">
        <f t="shared" si="10"/>
        <v>-2</v>
      </c>
      <c r="P124" s="123">
        <f t="shared" si="11"/>
        <v>0</v>
      </c>
      <c r="Q124" s="123">
        <f t="shared" si="18"/>
        <v>2</v>
      </c>
      <c r="R124" s="123">
        <f t="shared" si="12"/>
        <v>-28</v>
      </c>
      <c r="S124" s="126">
        <v>29</v>
      </c>
      <c r="T124" s="125">
        <f t="shared" si="13"/>
        <v>0</v>
      </c>
      <c r="U124" s="125">
        <f t="shared" si="14"/>
        <v>-7318.08</v>
      </c>
      <c r="V124" s="126">
        <f t="shared" si="15"/>
        <v>129</v>
      </c>
      <c r="Y124" s="10"/>
    </row>
    <row r="125" spans="1:25" ht="12.75">
      <c r="A125" s="136" t="s">
        <v>231</v>
      </c>
      <c r="B125" s="127">
        <v>43353</v>
      </c>
      <c r="C125" s="136" t="s">
        <v>470</v>
      </c>
      <c r="D125" s="137">
        <v>100.99</v>
      </c>
      <c r="E125" s="128"/>
      <c r="F125" s="131"/>
      <c r="K125" s="127">
        <v>43356</v>
      </c>
      <c r="M125" s="127">
        <v>43414</v>
      </c>
      <c r="N125" s="127">
        <v>43414</v>
      </c>
      <c r="O125" s="123">
        <f t="shared" si="10"/>
        <v>-58</v>
      </c>
      <c r="P125" s="123">
        <f t="shared" si="11"/>
        <v>0</v>
      </c>
      <c r="Q125" s="123">
        <f t="shared" si="18"/>
        <v>58</v>
      </c>
      <c r="R125" s="123">
        <f t="shared" si="12"/>
        <v>28</v>
      </c>
      <c r="S125" s="126">
        <v>22</v>
      </c>
      <c r="T125" s="125">
        <f t="shared" si="13"/>
        <v>0</v>
      </c>
      <c r="U125" s="125">
        <f t="shared" si="14"/>
        <v>2827.72</v>
      </c>
      <c r="V125" s="126">
        <f t="shared" si="15"/>
        <v>122</v>
      </c>
      <c r="Y125" s="10"/>
    </row>
    <row r="126" spans="1:25" ht="12.75">
      <c r="A126" s="120" t="s">
        <v>232</v>
      </c>
      <c r="B126" s="121">
        <v>43346</v>
      </c>
      <c r="C126" s="120" t="s">
        <v>471</v>
      </c>
      <c r="D126" s="135">
        <v>-8.1</v>
      </c>
      <c r="E126" s="128"/>
      <c r="F126" s="131"/>
      <c r="K126" s="121">
        <v>43346</v>
      </c>
      <c r="M126" s="121">
        <v>43350</v>
      </c>
      <c r="N126" s="121">
        <v>43350</v>
      </c>
      <c r="O126" s="123">
        <f t="shared" si="10"/>
        <v>-4</v>
      </c>
      <c r="P126" s="123">
        <f t="shared" si="11"/>
        <v>0</v>
      </c>
      <c r="Q126" s="123">
        <f t="shared" si="18"/>
        <v>4</v>
      </c>
      <c r="R126" s="123">
        <f t="shared" si="12"/>
        <v>-26</v>
      </c>
      <c r="S126" s="126">
        <v>29</v>
      </c>
      <c r="T126" s="125">
        <f t="shared" si="13"/>
        <v>0</v>
      </c>
      <c r="U126" s="125">
        <f t="shared" si="14"/>
        <v>210.6</v>
      </c>
      <c r="V126" s="126">
        <f t="shared" si="15"/>
        <v>129</v>
      </c>
      <c r="Y126" s="10"/>
    </row>
    <row r="127" spans="1:25" s="122" customFormat="1" ht="12.75">
      <c r="A127" s="136" t="s">
        <v>233</v>
      </c>
      <c r="B127" s="127">
        <v>43353</v>
      </c>
      <c r="C127" s="136" t="s">
        <v>472</v>
      </c>
      <c r="D127" s="137">
        <v>42.27</v>
      </c>
      <c r="E127" s="128"/>
      <c r="F127" s="131"/>
      <c r="K127" s="127">
        <v>43356</v>
      </c>
      <c r="L127" s="18"/>
      <c r="M127" s="127">
        <v>43383</v>
      </c>
      <c r="N127" s="127">
        <v>43383</v>
      </c>
      <c r="O127" s="123">
        <f t="shared" si="10"/>
        <v>-27</v>
      </c>
      <c r="P127" s="123">
        <f t="shared" si="11"/>
        <v>0</v>
      </c>
      <c r="Q127" s="123">
        <f t="shared" si="18"/>
        <v>27</v>
      </c>
      <c r="R127" s="123">
        <f t="shared" si="12"/>
        <v>-3</v>
      </c>
      <c r="S127" s="126">
        <v>21</v>
      </c>
      <c r="T127" s="125">
        <f t="shared" si="13"/>
        <v>0</v>
      </c>
      <c r="U127" s="125">
        <f t="shared" si="14"/>
        <v>-126.81</v>
      </c>
      <c r="V127" s="126">
        <f t="shared" si="15"/>
        <v>121</v>
      </c>
      <c r="Y127" s="10"/>
    </row>
    <row r="128" spans="1:25" s="122" customFormat="1" ht="12.75">
      <c r="A128" s="120" t="s">
        <v>234</v>
      </c>
      <c r="B128" s="121">
        <v>43342</v>
      </c>
      <c r="C128" s="120" t="s">
        <v>473</v>
      </c>
      <c r="D128" s="135">
        <v>254.34</v>
      </c>
      <c r="E128" s="128"/>
      <c r="F128" s="131"/>
      <c r="K128" s="121">
        <v>43356</v>
      </c>
      <c r="L128" s="18"/>
      <c r="M128" s="121">
        <v>43361</v>
      </c>
      <c r="N128" s="121">
        <v>43361</v>
      </c>
      <c r="O128" s="123">
        <f t="shared" si="10"/>
        <v>-5</v>
      </c>
      <c r="P128" s="123">
        <f t="shared" si="11"/>
        <v>0</v>
      </c>
      <c r="Q128" s="123">
        <f t="shared" si="18"/>
        <v>5</v>
      </c>
      <c r="R128" s="123">
        <f t="shared" si="12"/>
        <v>-25</v>
      </c>
      <c r="S128" s="126">
        <v>29</v>
      </c>
      <c r="T128" s="125">
        <f t="shared" si="13"/>
        <v>0</v>
      </c>
      <c r="U128" s="125">
        <f t="shared" si="14"/>
        <v>-6358.5</v>
      </c>
      <c r="V128" s="126">
        <f t="shared" si="15"/>
        <v>129</v>
      </c>
      <c r="Y128" s="10"/>
    </row>
    <row r="129" spans="1:25" s="122" customFormat="1" ht="12.75">
      <c r="A129" s="120" t="s">
        <v>235</v>
      </c>
      <c r="B129" s="121">
        <v>43342</v>
      </c>
      <c r="C129" s="120" t="s">
        <v>474</v>
      </c>
      <c r="D129" s="135">
        <v>314.12</v>
      </c>
      <c r="E129" s="128"/>
      <c r="F129" s="131"/>
      <c r="K129" s="121">
        <v>43356</v>
      </c>
      <c r="L129" s="18"/>
      <c r="M129" s="121">
        <v>43361</v>
      </c>
      <c r="N129" s="121">
        <v>43361</v>
      </c>
      <c r="O129" s="123">
        <f t="shared" si="10"/>
        <v>-5</v>
      </c>
      <c r="P129" s="123">
        <f t="shared" si="11"/>
        <v>0</v>
      </c>
      <c r="Q129" s="123">
        <f aca="true" t="shared" si="19" ref="Q129:Q141">+N129-K129</f>
        <v>5</v>
      </c>
      <c r="R129" s="123">
        <f t="shared" si="12"/>
        <v>-25</v>
      </c>
      <c r="S129" s="126">
        <v>29</v>
      </c>
      <c r="T129" s="125">
        <f t="shared" si="13"/>
        <v>0</v>
      </c>
      <c r="U129" s="125">
        <f t="shared" si="14"/>
        <v>-7853</v>
      </c>
      <c r="V129" s="126">
        <f t="shared" si="15"/>
        <v>129</v>
      </c>
      <c r="Y129" s="10"/>
    </row>
    <row r="130" spans="1:25" s="122" customFormat="1" ht="12.75">
      <c r="A130" s="120" t="s">
        <v>236</v>
      </c>
      <c r="B130" s="121">
        <v>43342</v>
      </c>
      <c r="C130" s="120" t="s">
        <v>475</v>
      </c>
      <c r="D130" s="135">
        <v>447.42</v>
      </c>
      <c r="E130" s="128"/>
      <c r="F130" s="131"/>
      <c r="K130" s="121">
        <v>43356</v>
      </c>
      <c r="L130" s="18"/>
      <c r="M130" s="121">
        <v>43361</v>
      </c>
      <c r="N130" s="121">
        <v>43361</v>
      </c>
      <c r="O130" s="123">
        <f t="shared" si="10"/>
        <v>-5</v>
      </c>
      <c r="P130" s="123">
        <f t="shared" si="11"/>
        <v>0</v>
      </c>
      <c r="Q130" s="123">
        <f t="shared" si="19"/>
        <v>5</v>
      </c>
      <c r="R130" s="123">
        <f t="shared" si="12"/>
        <v>-25</v>
      </c>
      <c r="S130" s="126">
        <v>29</v>
      </c>
      <c r="T130" s="125">
        <f t="shared" si="13"/>
        <v>0</v>
      </c>
      <c r="U130" s="125">
        <f t="shared" si="14"/>
        <v>-11185.5</v>
      </c>
      <c r="V130" s="126">
        <f t="shared" si="15"/>
        <v>129</v>
      </c>
      <c r="Y130" s="10"/>
    </row>
    <row r="131" spans="1:25" s="122" customFormat="1" ht="12.75">
      <c r="A131" s="120" t="s">
        <v>237</v>
      </c>
      <c r="B131" s="121">
        <v>43343</v>
      </c>
      <c r="C131" s="120" t="s">
        <v>476</v>
      </c>
      <c r="D131" s="135">
        <v>1807.5</v>
      </c>
      <c r="E131" s="128"/>
      <c r="F131" s="131"/>
      <c r="K131" s="121">
        <v>43343</v>
      </c>
      <c r="L131" s="18"/>
      <c r="M131" s="121">
        <v>43343</v>
      </c>
      <c r="N131" s="121">
        <v>43343</v>
      </c>
      <c r="O131" s="123">
        <f t="shared" si="10"/>
        <v>0</v>
      </c>
      <c r="P131" s="123">
        <f t="shared" si="11"/>
        <v>0</v>
      </c>
      <c r="Q131" s="123">
        <f t="shared" si="19"/>
        <v>0</v>
      </c>
      <c r="R131" s="123">
        <f t="shared" si="12"/>
        <v>-30</v>
      </c>
      <c r="S131" s="126">
        <v>29</v>
      </c>
      <c r="T131" s="125">
        <f t="shared" si="13"/>
        <v>0</v>
      </c>
      <c r="U131" s="125">
        <f t="shared" si="14"/>
        <v>-54225</v>
      </c>
      <c r="V131" s="126">
        <f t="shared" si="15"/>
        <v>129</v>
      </c>
      <c r="Y131" s="10"/>
    </row>
    <row r="132" spans="1:25" ht="12.75">
      <c r="A132" s="120" t="s">
        <v>238</v>
      </c>
      <c r="B132" s="121">
        <v>43343</v>
      </c>
      <c r="C132" s="120" t="s">
        <v>477</v>
      </c>
      <c r="D132" s="135">
        <v>1108.17</v>
      </c>
      <c r="E132" s="128"/>
      <c r="F132" s="131"/>
      <c r="K132" s="121">
        <v>43343</v>
      </c>
      <c r="M132" s="121">
        <v>43343</v>
      </c>
      <c r="N132" s="121">
        <v>43343</v>
      </c>
      <c r="O132" s="123">
        <f t="shared" si="10"/>
        <v>0</v>
      </c>
      <c r="P132" s="123">
        <f t="shared" si="11"/>
        <v>0</v>
      </c>
      <c r="Q132" s="123">
        <f t="shared" si="19"/>
        <v>0</v>
      </c>
      <c r="R132" s="123">
        <f t="shared" si="12"/>
        <v>-30</v>
      </c>
      <c r="S132" s="126">
        <v>29</v>
      </c>
      <c r="T132" s="125">
        <f t="shared" si="13"/>
        <v>0</v>
      </c>
      <c r="U132" s="125">
        <f t="shared" si="14"/>
        <v>-33245.100000000006</v>
      </c>
      <c r="V132" s="126">
        <f t="shared" si="15"/>
        <v>129</v>
      </c>
      <c r="Y132" s="10"/>
    </row>
    <row r="133" spans="1:25" ht="12.75">
      <c r="A133" s="120" t="s">
        <v>239</v>
      </c>
      <c r="B133" s="121">
        <v>43312</v>
      </c>
      <c r="C133" s="120" t="s">
        <v>478</v>
      </c>
      <c r="D133" s="135">
        <v>475.3</v>
      </c>
      <c r="E133" s="128"/>
      <c r="F133" s="131"/>
      <c r="K133" s="121">
        <v>43312</v>
      </c>
      <c r="M133" s="121">
        <v>43342</v>
      </c>
      <c r="N133" s="121">
        <v>43342</v>
      </c>
      <c r="O133" s="123">
        <f t="shared" si="10"/>
        <v>-30</v>
      </c>
      <c r="P133" s="123">
        <f t="shared" si="11"/>
        <v>0</v>
      </c>
      <c r="Q133" s="123">
        <f t="shared" si="19"/>
        <v>30</v>
      </c>
      <c r="R133" s="123">
        <f t="shared" si="12"/>
        <v>0</v>
      </c>
      <c r="S133" s="126">
        <v>29</v>
      </c>
      <c r="T133" s="125">
        <f t="shared" si="13"/>
        <v>0</v>
      </c>
      <c r="U133" s="125">
        <f t="shared" si="14"/>
        <v>0</v>
      </c>
      <c r="V133" s="126">
        <f t="shared" si="15"/>
        <v>129</v>
      </c>
      <c r="Y133" s="10"/>
    </row>
    <row r="134" spans="1:25" ht="12.75">
      <c r="A134" s="120" t="s">
        <v>240</v>
      </c>
      <c r="B134" s="121">
        <v>43282</v>
      </c>
      <c r="C134" s="120" t="s">
        <v>479</v>
      </c>
      <c r="D134" s="135">
        <v>16.34</v>
      </c>
      <c r="E134" s="128"/>
      <c r="F134" s="131"/>
      <c r="K134" s="121">
        <v>43357</v>
      </c>
      <c r="M134" s="121">
        <v>43371</v>
      </c>
      <c r="N134" s="121">
        <v>43371</v>
      </c>
      <c r="O134" s="123">
        <f t="shared" si="10"/>
        <v>-14</v>
      </c>
      <c r="P134" s="123">
        <f t="shared" si="11"/>
        <v>0</v>
      </c>
      <c r="Q134" s="123">
        <f t="shared" si="19"/>
        <v>14</v>
      </c>
      <c r="R134" s="123">
        <f t="shared" si="12"/>
        <v>-16</v>
      </c>
      <c r="S134" s="126">
        <v>29</v>
      </c>
      <c r="T134" s="125">
        <f t="shared" si="13"/>
        <v>0</v>
      </c>
      <c r="U134" s="125">
        <f t="shared" si="14"/>
        <v>-261.44</v>
      </c>
      <c r="V134" s="126">
        <f t="shared" si="15"/>
        <v>129</v>
      </c>
      <c r="Y134" s="10"/>
    </row>
    <row r="135" spans="1:25" ht="12.75">
      <c r="A135" s="120" t="s">
        <v>241</v>
      </c>
      <c r="B135" s="121">
        <v>43348</v>
      </c>
      <c r="C135" s="120" t="s">
        <v>480</v>
      </c>
      <c r="D135" s="135">
        <v>666.07</v>
      </c>
      <c r="E135" s="128"/>
      <c r="F135" s="131"/>
      <c r="K135" s="121">
        <v>43360</v>
      </c>
      <c r="M135" s="121">
        <v>43371</v>
      </c>
      <c r="N135" s="121">
        <v>43371</v>
      </c>
      <c r="O135" s="123">
        <f aca="true" t="shared" si="20" ref="O135:O198">+K135-M135</f>
        <v>-11</v>
      </c>
      <c r="P135" s="123">
        <f aca="true" t="shared" si="21" ref="P135:P198">+N135-M135</f>
        <v>0</v>
      </c>
      <c r="Q135" s="123">
        <f t="shared" si="19"/>
        <v>11</v>
      </c>
      <c r="R135" s="123">
        <f aca="true" t="shared" si="22" ref="R135:R198">+Q135-30</f>
        <v>-19</v>
      </c>
      <c r="S135" s="126">
        <v>21</v>
      </c>
      <c r="T135" s="125">
        <f aca="true" t="shared" si="23" ref="T135:T198">+P135*D135</f>
        <v>0</v>
      </c>
      <c r="U135" s="125">
        <f aca="true" t="shared" si="24" ref="U135:U198">+R135*D135</f>
        <v>-12655.330000000002</v>
      </c>
      <c r="V135" s="126">
        <f aca="true" t="shared" si="25" ref="V135:V198">IF(P135&gt;30,200+S135,100+S135)</f>
        <v>121</v>
      </c>
      <c r="Y135" s="10"/>
    </row>
    <row r="136" spans="1:25" ht="12.75">
      <c r="A136" s="120" t="s">
        <v>242</v>
      </c>
      <c r="B136" s="121">
        <v>43342</v>
      </c>
      <c r="C136" s="120" t="s">
        <v>481</v>
      </c>
      <c r="D136" s="135">
        <v>405.36</v>
      </c>
      <c r="E136" s="128"/>
      <c r="F136" s="131"/>
      <c r="K136" s="121">
        <v>43356</v>
      </c>
      <c r="M136" s="121">
        <v>43361</v>
      </c>
      <c r="N136" s="121">
        <v>43361</v>
      </c>
      <c r="O136" s="123">
        <f t="shared" si="20"/>
        <v>-5</v>
      </c>
      <c r="P136" s="123">
        <f t="shared" si="21"/>
        <v>0</v>
      </c>
      <c r="Q136" s="123">
        <f t="shared" si="19"/>
        <v>5</v>
      </c>
      <c r="R136" s="123">
        <f t="shared" si="22"/>
        <v>-25</v>
      </c>
      <c r="S136" s="126">
        <v>29</v>
      </c>
      <c r="T136" s="125">
        <f t="shared" si="23"/>
        <v>0</v>
      </c>
      <c r="U136" s="125">
        <f t="shared" si="24"/>
        <v>-10134</v>
      </c>
      <c r="V136" s="126">
        <f t="shared" si="25"/>
        <v>129</v>
      </c>
      <c r="Y136" s="10"/>
    </row>
    <row r="137" spans="1:25" ht="12.75">
      <c r="A137" s="120" t="s">
        <v>243</v>
      </c>
      <c r="B137" s="121">
        <v>43344</v>
      </c>
      <c r="C137" s="120" t="s">
        <v>482</v>
      </c>
      <c r="D137" s="135">
        <v>28.6</v>
      </c>
      <c r="E137" s="128"/>
      <c r="F137" s="131"/>
      <c r="K137" s="121">
        <v>43344</v>
      </c>
      <c r="M137" s="121">
        <v>43348</v>
      </c>
      <c r="N137" s="121">
        <v>43348</v>
      </c>
      <c r="O137" s="123">
        <f t="shared" si="20"/>
        <v>-4</v>
      </c>
      <c r="P137" s="123">
        <f t="shared" si="21"/>
        <v>0</v>
      </c>
      <c r="Q137" s="123">
        <f t="shared" si="19"/>
        <v>4</v>
      </c>
      <c r="R137" s="123">
        <f t="shared" si="22"/>
        <v>-26</v>
      </c>
      <c r="S137" s="126">
        <v>20</v>
      </c>
      <c r="T137" s="125">
        <f t="shared" si="23"/>
        <v>0</v>
      </c>
      <c r="U137" s="125">
        <f t="shared" si="24"/>
        <v>-743.6</v>
      </c>
      <c r="V137" s="126">
        <f t="shared" si="25"/>
        <v>120</v>
      </c>
      <c r="Y137" s="10"/>
    </row>
    <row r="138" spans="1:25" ht="12.75">
      <c r="A138" s="120" t="s">
        <v>244</v>
      </c>
      <c r="B138" s="121">
        <v>43344</v>
      </c>
      <c r="C138" s="120" t="s">
        <v>483</v>
      </c>
      <c r="D138" s="135">
        <v>61.41</v>
      </c>
      <c r="E138" s="128"/>
      <c r="F138" s="131"/>
      <c r="K138" s="121">
        <v>43344</v>
      </c>
      <c r="M138" s="121">
        <v>43348</v>
      </c>
      <c r="N138" s="121">
        <v>43348</v>
      </c>
      <c r="O138" s="123">
        <f t="shared" si="20"/>
        <v>-4</v>
      </c>
      <c r="P138" s="123">
        <f t="shared" si="21"/>
        <v>0</v>
      </c>
      <c r="Q138" s="123">
        <f t="shared" si="19"/>
        <v>4</v>
      </c>
      <c r="R138" s="123">
        <f t="shared" si="22"/>
        <v>-26</v>
      </c>
      <c r="S138" s="126">
        <v>20</v>
      </c>
      <c r="T138" s="125">
        <f t="shared" si="23"/>
        <v>0</v>
      </c>
      <c r="U138" s="125">
        <f t="shared" si="24"/>
        <v>-1596.6599999999999</v>
      </c>
      <c r="V138" s="126">
        <f t="shared" si="25"/>
        <v>120</v>
      </c>
      <c r="Y138" s="10"/>
    </row>
    <row r="139" spans="1:25" ht="12.75">
      <c r="A139" s="120" t="s">
        <v>245</v>
      </c>
      <c r="B139" s="121">
        <v>43313</v>
      </c>
      <c r="C139" s="120" t="s">
        <v>484</v>
      </c>
      <c r="D139" s="135">
        <v>61.41</v>
      </c>
      <c r="E139" s="128"/>
      <c r="F139" s="131"/>
      <c r="K139" s="121">
        <v>43313</v>
      </c>
      <c r="M139" s="121">
        <v>43322</v>
      </c>
      <c r="N139" s="121">
        <v>43322</v>
      </c>
      <c r="O139" s="123">
        <f t="shared" si="20"/>
        <v>-9</v>
      </c>
      <c r="P139" s="123">
        <f t="shared" si="21"/>
        <v>0</v>
      </c>
      <c r="Q139" s="123">
        <f t="shared" si="19"/>
        <v>9</v>
      </c>
      <c r="R139" s="123">
        <f t="shared" si="22"/>
        <v>-21</v>
      </c>
      <c r="S139" s="126">
        <v>20</v>
      </c>
      <c r="T139" s="125">
        <f t="shared" si="23"/>
        <v>0</v>
      </c>
      <c r="U139" s="125">
        <f t="shared" si="24"/>
        <v>-1289.61</v>
      </c>
      <c r="V139" s="126">
        <f t="shared" si="25"/>
        <v>120</v>
      </c>
      <c r="Y139" s="10"/>
    </row>
    <row r="140" spans="1:25" ht="12.75">
      <c r="A140" s="120" t="s">
        <v>246</v>
      </c>
      <c r="B140" s="121">
        <v>43313</v>
      </c>
      <c r="C140" s="120" t="s">
        <v>485</v>
      </c>
      <c r="D140" s="135">
        <v>28.6</v>
      </c>
      <c r="E140" s="128"/>
      <c r="F140" s="131"/>
      <c r="K140" s="121">
        <v>43313</v>
      </c>
      <c r="M140" s="121">
        <v>43322</v>
      </c>
      <c r="N140" s="121">
        <v>43322</v>
      </c>
      <c r="O140" s="123">
        <f t="shared" si="20"/>
        <v>-9</v>
      </c>
      <c r="P140" s="123">
        <f t="shared" si="21"/>
        <v>0</v>
      </c>
      <c r="Q140" s="123">
        <f t="shared" si="19"/>
        <v>9</v>
      </c>
      <c r="R140" s="123">
        <f t="shared" si="22"/>
        <v>-21</v>
      </c>
      <c r="S140" s="126">
        <v>20</v>
      </c>
      <c r="T140" s="125">
        <f t="shared" si="23"/>
        <v>0</v>
      </c>
      <c r="U140" s="125">
        <f t="shared" si="24"/>
        <v>-600.6</v>
      </c>
      <c r="V140" s="126">
        <f t="shared" si="25"/>
        <v>120</v>
      </c>
      <c r="Y140" s="10"/>
    </row>
    <row r="141" spans="1:25" ht="12.75">
      <c r="A141" s="120" t="s">
        <v>247</v>
      </c>
      <c r="B141" s="121">
        <v>43331</v>
      </c>
      <c r="C141" s="120" t="s">
        <v>486</v>
      </c>
      <c r="D141" s="135">
        <v>62.4</v>
      </c>
      <c r="E141" s="128"/>
      <c r="F141" s="131"/>
      <c r="K141" s="121">
        <v>43331</v>
      </c>
      <c r="M141" s="121">
        <v>43332</v>
      </c>
      <c r="N141" s="121">
        <v>43332</v>
      </c>
      <c r="O141" s="123">
        <f t="shared" si="20"/>
        <v>-1</v>
      </c>
      <c r="P141" s="123">
        <f t="shared" si="21"/>
        <v>0</v>
      </c>
      <c r="Q141" s="123">
        <f t="shared" si="19"/>
        <v>1</v>
      </c>
      <c r="R141" s="123">
        <f t="shared" si="22"/>
        <v>-29</v>
      </c>
      <c r="S141" s="126">
        <v>29</v>
      </c>
      <c r="T141" s="125">
        <f t="shared" si="23"/>
        <v>0</v>
      </c>
      <c r="U141" s="125">
        <f t="shared" si="24"/>
        <v>-1809.6</v>
      </c>
      <c r="V141" s="126">
        <f t="shared" si="25"/>
        <v>129</v>
      </c>
      <c r="Y141" s="10"/>
    </row>
    <row r="142" spans="1:25" s="122" customFormat="1" ht="12.75">
      <c r="A142" s="120" t="s">
        <v>248</v>
      </c>
      <c r="B142" s="121">
        <v>43300</v>
      </c>
      <c r="C142" s="120" t="s">
        <v>487</v>
      </c>
      <c r="D142" s="135">
        <v>60.4</v>
      </c>
      <c r="E142" s="128"/>
      <c r="F142" s="131"/>
      <c r="K142" s="121">
        <v>43300</v>
      </c>
      <c r="L142" s="18"/>
      <c r="M142" s="121">
        <v>43300</v>
      </c>
      <c r="N142" s="121">
        <v>43300</v>
      </c>
      <c r="O142" s="123">
        <f t="shared" si="20"/>
        <v>0</v>
      </c>
      <c r="P142" s="123">
        <f t="shared" si="21"/>
        <v>0</v>
      </c>
      <c r="Q142" s="123">
        <f aca="true" t="shared" si="26" ref="Q142:Q152">+N142-K142</f>
        <v>0</v>
      </c>
      <c r="R142" s="123">
        <f t="shared" si="22"/>
        <v>-30</v>
      </c>
      <c r="S142" s="126">
        <v>29</v>
      </c>
      <c r="T142" s="125">
        <f t="shared" si="23"/>
        <v>0</v>
      </c>
      <c r="U142" s="125">
        <f t="shared" si="24"/>
        <v>-1812</v>
      </c>
      <c r="V142" s="126">
        <f t="shared" si="25"/>
        <v>129</v>
      </c>
      <c r="Y142" s="10"/>
    </row>
    <row r="143" spans="1:25" s="122" customFormat="1" ht="12.75">
      <c r="A143" s="120" t="s">
        <v>249</v>
      </c>
      <c r="B143" s="121">
        <v>43344</v>
      </c>
      <c r="C143" s="120" t="s">
        <v>488</v>
      </c>
      <c r="D143" s="135">
        <v>144.4</v>
      </c>
      <c r="E143" s="128"/>
      <c r="F143" s="131"/>
      <c r="K143" s="121">
        <v>43344</v>
      </c>
      <c r="L143" s="18"/>
      <c r="M143" s="121">
        <v>43346</v>
      </c>
      <c r="N143" s="121">
        <v>43346</v>
      </c>
      <c r="O143" s="123">
        <f t="shared" si="20"/>
        <v>-2</v>
      </c>
      <c r="P143" s="123">
        <f t="shared" si="21"/>
        <v>0</v>
      </c>
      <c r="Q143" s="123">
        <f t="shared" si="26"/>
        <v>2</v>
      </c>
      <c r="R143" s="123">
        <f t="shared" si="22"/>
        <v>-28</v>
      </c>
      <c r="S143" s="126">
        <v>29</v>
      </c>
      <c r="T143" s="125">
        <f t="shared" si="23"/>
        <v>0</v>
      </c>
      <c r="U143" s="125">
        <f t="shared" si="24"/>
        <v>-4043.2000000000003</v>
      </c>
      <c r="V143" s="126">
        <f t="shared" si="25"/>
        <v>129</v>
      </c>
      <c r="Y143" s="10"/>
    </row>
    <row r="144" spans="1:25" ht="12.75">
      <c r="A144" s="120" t="s">
        <v>250</v>
      </c>
      <c r="B144" s="121">
        <v>43313</v>
      </c>
      <c r="C144" s="120" t="s">
        <v>489</v>
      </c>
      <c r="D144" s="135">
        <v>145.57</v>
      </c>
      <c r="E144" s="128"/>
      <c r="F144" s="131"/>
      <c r="K144" s="121">
        <v>43313</v>
      </c>
      <c r="M144" s="121">
        <v>43313</v>
      </c>
      <c r="N144" s="121">
        <v>43313</v>
      </c>
      <c r="O144" s="123">
        <f t="shared" si="20"/>
        <v>0</v>
      </c>
      <c r="P144" s="123">
        <f t="shared" si="21"/>
        <v>0</v>
      </c>
      <c r="Q144" s="123">
        <f t="shared" si="26"/>
        <v>0</v>
      </c>
      <c r="R144" s="123">
        <f t="shared" si="22"/>
        <v>-30</v>
      </c>
      <c r="S144" s="126">
        <v>29</v>
      </c>
      <c r="T144" s="125">
        <f t="shared" si="23"/>
        <v>0</v>
      </c>
      <c r="U144" s="125">
        <f t="shared" si="24"/>
        <v>-4367.099999999999</v>
      </c>
      <c r="V144" s="126">
        <f t="shared" si="25"/>
        <v>129</v>
      </c>
      <c r="Y144" s="10"/>
    </row>
    <row r="145" spans="1:25" ht="12.75">
      <c r="A145" s="120" t="s">
        <v>251</v>
      </c>
      <c r="B145" s="121">
        <v>43342</v>
      </c>
      <c r="C145" s="120" t="s">
        <v>490</v>
      </c>
      <c r="D145" s="135">
        <v>461.68</v>
      </c>
      <c r="E145" s="128"/>
      <c r="F145" s="131"/>
      <c r="K145" s="121">
        <v>43342</v>
      </c>
      <c r="M145" s="121">
        <v>43361</v>
      </c>
      <c r="N145" s="121">
        <v>43361</v>
      </c>
      <c r="O145" s="123">
        <f t="shared" si="20"/>
        <v>-19</v>
      </c>
      <c r="P145" s="123">
        <f t="shared" si="21"/>
        <v>0</v>
      </c>
      <c r="Q145" s="123">
        <f t="shared" si="26"/>
        <v>19</v>
      </c>
      <c r="R145" s="123">
        <f t="shared" si="22"/>
        <v>-11</v>
      </c>
      <c r="S145" s="126">
        <v>29</v>
      </c>
      <c r="T145" s="125">
        <f t="shared" si="23"/>
        <v>0</v>
      </c>
      <c r="U145" s="125">
        <f t="shared" si="24"/>
        <v>-5078.4800000000005</v>
      </c>
      <c r="V145" s="126">
        <f t="shared" si="25"/>
        <v>129</v>
      </c>
      <c r="Y145" s="10"/>
    </row>
    <row r="146" spans="1:25" ht="12.75">
      <c r="A146" s="136" t="s">
        <v>252</v>
      </c>
      <c r="B146" s="127">
        <v>43343</v>
      </c>
      <c r="C146" s="136" t="s">
        <v>491</v>
      </c>
      <c r="D146" s="137">
        <v>70.71</v>
      </c>
      <c r="E146" s="128"/>
      <c r="F146" s="131"/>
      <c r="K146" s="127">
        <v>43363</v>
      </c>
      <c r="M146" s="127">
        <v>43374</v>
      </c>
      <c r="N146" s="127">
        <v>43374</v>
      </c>
      <c r="O146" s="123">
        <f t="shared" si="20"/>
        <v>-11</v>
      </c>
      <c r="P146" s="123">
        <f t="shared" si="21"/>
        <v>0</v>
      </c>
      <c r="Q146" s="123">
        <f t="shared" si="26"/>
        <v>11</v>
      </c>
      <c r="R146" s="123">
        <f t="shared" si="22"/>
        <v>-19</v>
      </c>
      <c r="S146" s="126">
        <v>29</v>
      </c>
      <c r="T146" s="125">
        <f t="shared" si="23"/>
        <v>0</v>
      </c>
      <c r="U146" s="125">
        <f t="shared" si="24"/>
        <v>-1343.4899999999998</v>
      </c>
      <c r="V146" s="126">
        <f t="shared" si="25"/>
        <v>129</v>
      </c>
      <c r="Y146" s="10"/>
    </row>
    <row r="147" spans="1:25" ht="12.75">
      <c r="A147" s="136" t="s">
        <v>253</v>
      </c>
      <c r="B147" s="127">
        <v>43312</v>
      </c>
      <c r="C147" s="136" t="s">
        <v>492</v>
      </c>
      <c r="D147" s="137">
        <v>49.26</v>
      </c>
      <c r="E147" s="128"/>
      <c r="F147" s="131"/>
      <c r="K147" s="127">
        <v>43312</v>
      </c>
      <c r="M147" s="127"/>
      <c r="N147" s="127"/>
      <c r="O147" s="123"/>
      <c r="P147" s="123"/>
      <c r="Q147" s="123"/>
      <c r="R147" s="123"/>
      <c r="S147" s="126"/>
      <c r="T147" s="125"/>
      <c r="U147" s="125"/>
      <c r="V147" s="126"/>
      <c r="Y147" s="10"/>
    </row>
    <row r="148" spans="1:25" ht="12.75">
      <c r="A148" s="136" t="s">
        <v>254</v>
      </c>
      <c r="B148" s="127">
        <v>43358</v>
      </c>
      <c r="C148" s="136" t="s">
        <v>493</v>
      </c>
      <c r="D148" s="137">
        <v>-49.26</v>
      </c>
      <c r="E148" s="128"/>
      <c r="F148" s="131"/>
      <c r="K148" s="127">
        <v>43358</v>
      </c>
      <c r="M148" s="127"/>
      <c r="N148" s="127"/>
      <c r="O148" s="123"/>
      <c r="P148" s="123"/>
      <c r="Q148" s="123"/>
      <c r="R148" s="123"/>
      <c r="S148" s="126"/>
      <c r="T148" s="125"/>
      <c r="U148" s="125"/>
      <c r="V148" s="126"/>
      <c r="Y148" s="10"/>
    </row>
    <row r="149" spans="1:25" ht="12.75">
      <c r="A149" s="120" t="s">
        <v>255</v>
      </c>
      <c r="B149" s="121">
        <v>43320</v>
      </c>
      <c r="C149" s="120" t="s">
        <v>494</v>
      </c>
      <c r="D149" s="135">
        <v>655.42</v>
      </c>
      <c r="E149" s="128"/>
      <c r="F149" s="131"/>
      <c r="K149" s="121">
        <v>43364</v>
      </c>
      <c r="M149" s="121">
        <v>43371</v>
      </c>
      <c r="N149" s="121">
        <v>43371</v>
      </c>
      <c r="O149" s="123">
        <f t="shared" si="20"/>
        <v>-7</v>
      </c>
      <c r="P149" s="123">
        <f t="shared" si="21"/>
        <v>0</v>
      </c>
      <c r="Q149" s="123">
        <f t="shared" si="26"/>
        <v>7</v>
      </c>
      <c r="R149" s="123">
        <f t="shared" si="22"/>
        <v>-23</v>
      </c>
      <c r="S149" s="126">
        <v>29</v>
      </c>
      <c r="T149" s="125">
        <f t="shared" si="23"/>
        <v>0</v>
      </c>
      <c r="U149" s="125">
        <f t="shared" si="24"/>
        <v>-15074.66</v>
      </c>
      <c r="V149" s="126">
        <f t="shared" si="25"/>
        <v>129</v>
      </c>
      <c r="Y149" s="10"/>
    </row>
    <row r="150" spans="1:25" ht="12.75">
      <c r="A150" s="120" t="s">
        <v>256</v>
      </c>
      <c r="B150" s="121">
        <v>43357</v>
      </c>
      <c r="C150" s="120" t="s">
        <v>495</v>
      </c>
      <c r="D150" s="135">
        <v>54.21</v>
      </c>
      <c r="E150" s="128"/>
      <c r="F150" s="131"/>
      <c r="K150" s="121">
        <v>43364</v>
      </c>
      <c r="M150" s="121">
        <v>43371</v>
      </c>
      <c r="N150" s="121">
        <v>43371</v>
      </c>
      <c r="O150" s="123">
        <f t="shared" si="20"/>
        <v>-7</v>
      </c>
      <c r="P150" s="123">
        <f t="shared" si="21"/>
        <v>0</v>
      </c>
      <c r="Q150" s="123">
        <f t="shared" si="26"/>
        <v>7</v>
      </c>
      <c r="R150" s="123">
        <f t="shared" si="22"/>
        <v>-23</v>
      </c>
      <c r="S150" s="126">
        <v>29</v>
      </c>
      <c r="T150" s="125">
        <f t="shared" si="23"/>
        <v>0</v>
      </c>
      <c r="U150" s="125">
        <f t="shared" si="24"/>
        <v>-1246.83</v>
      </c>
      <c r="V150" s="126">
        <f t="shared" si="25"/>
        <v>129</v>
      </c>
      <c r="Y150" s="10"/>
    </row>
    <row r="151" spans="1:25" s="122" customFormat="1" ht="12.75">
      <c r="A151" s="136" t="s">
        <v>257</v>
      </c>
      <c r="B151" s="127">
        <v>43361</v>
      </c>
      <c r="C151" s="136" t="s">
        <v>496</v>
      </c>
      <c r="D151" s="137">
        <v>65.87</v>
      </c>
      <c r="K151" s="127">
        <v>43367</v>
      </c>
      <c r="L151" s="18"/>
      <c r="M151" s="127"/>
      <c r="N151" s="127"/>
      <c r="O151" s="123"/>
      <c r="P151" s="123"/>
      <c r="Q151" s="123"/>
      <c r="R151" s="123"/>
      <c r="S151" s="126"/>
      <c r="T151" s="125"/>
      <c r="U151" s="125"/>
      <c r="V151" s="126"/>
      <c r="Y151" s="10"/>
    </row>
    <row r="152" spans="1:25" s="122" customFormat="1" ht="12.75">
      <c r="A152" s="120" t="s">
        <v>258</v>
      </c>
      <c r="B152" s="121">
        <v>43358</v>
      </c>
      <c r="C152" s="120" t="s">
        <v>497</v>
      </c>
      <c r="D152" s="135">
        <v>114.88</v>
      </c>
      <c r="K152" s="121">
        <v>43358</v>
      </c>
      <c r="L152" s="18"/>
      <c r="M152" s="121">
        <v>43360</v>
      </c>
      <c r="N152" s="121">
        <v>43360</v>
      </c>
      <c r="O152" s="123">
        <f t="shared" si="20"/>
        <v>-2</v>
      </c>
      <c r="P152" s="123">
        <f t="shared" si="21"/>
        <v>0</v>
      </c>
      <c r="Q152" s="123">
        <f t="shared" si="26"/>
        <v>2</v>
      </c>
      <c r="R152" s="123">
        <f t="shared" si="22"/>
        <v>-28</v>
      </c>
      <c r="S152" s="126">
        <v>29</v>
      </c>
      <c r="T152" s="125">
        <f t="shared" si="23"/>
        <v>0</v>
      </c>
      <c r="U152" s="125">
        <f t="shared" si="24"/>
        <v>-3216.64</v>
      </c>
      <c r="V152" s="126">
        <f t="shared" si="25"/>
        <v>129</v>
      </c>
      <c r="Y152" s="10"/>
    </row>
    <row r="153" spans="1:25" ht="12.75">
      <c r="A153" s="136" t="s">
        <v>259</v>
      </c>
      <c r="B153" s="127">
        <v>43343</v>
      </c>
      <c r="C153" s="136" t="s">
        <v>498</v>
      </c>
      <c r="D153" s="137">
        <v>200</v>
      </c>
      <c r="K153" s="127">
        <v>43368</v>
      </c>
      <c r="M153" s="127"/>
      <c r="N153" s="127"/>
      <c r="O153" s="123"/>
      <c r="P153" s="123"/>
      <c r="Q153" s="123"/>
      <c r="R153" s="123"/>
      <c r="S153" s="126"/>
      <c r="T153" s="125"/>
      <c r="U153" s="125"/>
      <c r="V153" s="126"/>
      <c r="Y153" s="10"/>
    </row>
    <row r="154" spans="1:25" ht="12.75">
      <c r="A154" s="120" t="s">
        <v>260</v>
      </c>
      <c r="B154" s="121">
        <v>43362</v>
      </c>
      <c r="C154" s="120" t="s">
        <v>499</v>
      </c>
      <c r="D154" s="135">
        <v>3061.3</v>
      </c>
      <c r="K154" s="121">
        <v>43368</v>
      </c>
      <c r="M154" s="121">
        <v>43371</v>
      </c>
      <c r="N154" s="121">
        <v>43371</v>
      </c>
      <c r="O154" s="123">
        <f t="shared" si="20"/>
        <v>-3</v>
      </c>
      <c r="P154" s="123">
        <f t="shared" si="21"/>
        <v>0</v>
      </c>
      <c r="Q154" s="123">
        <f aca="true" t="shared" si="27" ref="Q154:Q163">+N154-K154</f>
        <v>3</v>
      </c>
      <c r="R154" s="123">
        <f t="shared" si="22"/>
        <v>-27</v>
      </c>
      <c r="S154" s="126">
        <v>69</v>
      </c>
      <c r="T154" s="125">
        <f t="shared" si="23"/>
        <v>0</v>
      </c>
      <c r="U154" s="125">
        <f t="shared" si="24"/>
        <v>-82655.1</v>
      </c>
      <c r="V154" s="126">
        <f t="shared" si="25"/>
        <v>169</v>
      </c>
      <c r="Y154" s="10"/>
    </row>
    <row r="155" spans="1:25" ht="12.75">
      <c r="A155" s="136" t="s">
        <v>261</v>
      </c>
      <c r="B155" s="127">
        <v>43367</v>
      </c>
      <c r="C155" s="136" t="s">
        <v>500</v>
      </c>
      <c r="D155" s="137">
        <v>-200</v>
      </c>
      <c r="K155" s="127">
        <v>43367</v>
      </c>
      <c r="M155" s="127"/>
      <c r="N155" s="127"/>
      <c r="O155" s="123"/>
      <c r="P155" s="123"/>
      <c r="Q155" s="123"/>
      <c r="R155" s="123"/>
      <c r="S155" s="126"/>
      <c r="T155" s="125"/>
      <c r="U155" s="125"/>
      <c r="V155" s="126"/>
      <c r="Y155" s="10"/>
    </row>
    <row r="156" spans="1:25" ht="12.75">
      <c r="A156" s="120" t="s">
        <v>262</v>
      </c>
      <c r="B156" s="121">
        <v>43350</v>
      </c>
      <c r="C156" s="120" t="s">
        <v>501</v>
      </c>
      <c r="D156" s="135">
        <v>148.37</v>
      </c>
      <c r="K156" s="121">
        <v>43370</v>
      </c>
      <c r="M156" s="121">
        <v>43371</v>
      </c>
      <c r="N156" s="121">
        <v>43371</v>
      </c>
      <c r="O156" s="123">
        <f t="shared" si="20"/>
        <v>-1</v>
      </c>
      <c r="P156" s="123">
        <f t="shared" si="21"/>
        <v>0</v>
      </c>
      <c r="Q156" s="123">
        <f t="shared" si="27"/>
        <v>1</v>
      </c>
      <c r="R156" s="123">
        <f t="shared" si="22"/>
        <v>-29</v>
      </c>
      <c r="S156" s="126">
        <v>29</v>
      </c>
      <c r="T156" s="125">
        <f t="shared" si="23"/>
        <v>0</v>
      </c>
      <c r="U156" s="125">
        <f t="shared" si="24"/>
        <v>-4302.7300000000005</v>
      </c>
      <c r="V156" s="126">
        <f t="shared" si="25"/>
        <v>129</v>
      </c>
      <c r="Y156" s="10"/>
    </row>
    <row r="157" spans="1:25" ht="12.75">
      <c r="A157" s="120" t="s">
        <v>263</v>
      </c>
      <c r="B157" s="121">
        <v>43301</v>
      </c>
      <c r="C157" s="120" t="s">
        <v>502</v>
      </c>
      <c r="D157" s="135">
        <v>1089</v>
      </c>
      <c r="K157" s="121">
        <v>43370</v>
      </c>
      <c r="M157" s="121">
        <v>43371</v>
      </c>
      <c r="N157" s="121">
        <v>43371</v>
      </c>
      <c r="O157" s="123">
        <f t="shared" si="20"/>
        <v>-1</v>
      </c>
      <c r="P157" s="123">
        <f t="shared" si="21"/>
        <v>0</v>
      </c>
      <c r="Q157" s="123">
        <f t="shared" si="27"/>
        <v>1</v>
      </c>
      <c r="R157" s="123">
        <f t="shared" si="22"/>
        <v>-29</v>
      </c>
      <c r="S157" s="126">
        <v>29</v>
      </c>
      <c r="T157" s="125">
        <f t="shared" si="23"/>
        <v>0</v>
      </c>
      <c r="U157" s="125">
        <f t="shared" si="24"/>
        <v>-31581</v>
      </c>
      <c r="V157" s="126">
        <f t="shared" si="25"/>
        <v>129</v>
      </c>
      <c r="Y157" s="10"/>
    </row>
    <row r="158" spans="1:25" ht="12.75">
      <c r="A158" s="120" t="s">
        <v>264</v>
      </c>
      <c r="B158" s="121">
        <v>43353</v>
      </c>
      <c r="C158" s="120" t="s">
        <v>503</v>
      </c>
      <c r="D158" s="135">
        <v>68.56</v>
      </c>
      <c r="K158" s="121">
        <v>43370</v>
      </c>
      <c r="M158" s="121">
        <v>43371</v>
      </c>
      <c r="N158" s="121">
        <v>43371</v>
      </c>
      <c r="O158" s="123">
        <f t="shared" si="20"/>
        <v>-1</v>
      </c>
      <c r="P158" s="123">
        <f t="shared" si="21"/>
        <v>0</v>
      </c>
      <c r="Q158" s="123">
        <f t="shared" si="27"/>
        <v>1</v>
      </c>
      <c r="R158" s="123">
        <f t="shared" si="22"/>
        <v>-29</v>
      </c>
      <c r="S158" s="126">
        <v>29</v>
      </c>
      <c r="T158" s="125">
        <f t="shared" si="23"/>
        <v>0</v>
      </c>
      <c r="U158" s="125">
        <f t="shared" si="24"/>
        <v>-1988.24</v>
      </c>
      <c r="V158" s="126">
        <f t="shared" si="25"/>
        <v>129</v>
      </c>
      <c r="Y158" s="10"/>
    </row>
    <row r="159" spans="1:25" ht="12.75">
      <c r="A159" s="120" t="s">
        <v>265</v>
      </c>
      <c r="B159" s="121">
        <v>43357</v>
      </c>
      <c r="C159" s="120" t="s">
        <v>504</v>
      </c>
      <c r="D159" s="135">
        <v>5628</v>
      </c>
      <c r="K159" s="121">
        <v>43370</v>
      </c>
      <c r="M159" s="121">
        <v>43371</v>
      </c>
      <c r="N159" s="121">
        <v>43371</v>
      </c>
      <c r="O159" s="123">
        <f t="shared" si="20"/>
        <v>-1</v>
      </c>
      <c r="P159" s="123">
        <f t="shared" si="21"/>
        <v>0</v>
      </c>
      <c r="Q159" s="123">
        <f t="shared" si="27"/>
        <v>1</v>
      </c>
      <c r="R159" s="123">
        <f t="shared" si="22"/>
        <v>-29</v>
      </c>
      <c r="S159" s="126">
        <v>29</v>
      </c>
      <c r="T159" s="125">
        <f t="shared" si="23"/>
        <v>0</v>
      </c>
      <c r="U159" s="125">
        <f t="shared" si="24"/>
        <v>-163212</v>
      </c>
      <c r="V159" s="126">
        <f t="shared" si="25"/>
        <v>129</v>
      </c>
      <c r="Y159" s="10"/>
    </row>
    <row r="160" spans="1:25" ht="12.75">
      <c r="A160" s="120" t="s">
        <v>266</v>
      </c>
      <c r="B160" s="121">
        <v>43355</v>
      </c>
      <c r="C160" s="120" t="s">
        <v>505</v>
      </c>
      <c r="D160" s="135">
        <v>2853.18</v>
      </c>
      <c r="K160" s="121">
        <v>43370</v>
      </c>
      <c r="M160" s="121">
        <v>43371</v>
      </c>
      <c r="N160" s="121">
        <v>43371</v>
      </c>
      <c r="O160" s="123">
        <f t="shared" si="20"/>
        <v>-1</v>
      </c>
      <c r="P160" s="123">
        <f t="shared" si="21"/>
        <v>0</v>
      </c>
      <c r="Q160" s="123">
        <f t="shared" si="27"/>
        <v>1</v>
      </c>
      <c r="R160" s="123">
        <f t="shared" si="22"/>
        <v>-29</v>
      </c>
      <c r="S160" s="126">
        <v>29</v>
      </c>
      <c r="T160" s="125">
        <f t="shared" si="23"/>
        <v>0</v>
      </c>
      <c r="U160" s="125">
        <f t="shared" si="24"/>
        <v>-82742.22</v>
      </c>
      <c r="V160" s="126">
        <f t="shared" si="25"/>
        <v>129</v>
      </c>
      <c r="Y160" s="10"/>
    </row>
    <row r="161" spans="1:25" ht="12.75">
      <c r="A161" s="120" t="s">
        <v>267</v>
      </c>
      <c r="B161" s="121">
        <v>43363</v>
      </c>
      <c r="C161" s="120" t="s">
        <v>506</v>
      </c>
      <c r="D161" s="135">
        <v>154.28</v>
      </c>
      <c r="K161" s="121">
        <v>43370</v>
      </c>
      <c r="M161" s="121">
        <v>43371</v>
      </c>
      <c r="N161" s="121">
        <v>43371</v>
      </c>
      <c r="O161" s="123">
        <f t="shared" si="20"/>
        <v>-1</v>
      </c>
      <c r="P161" s="123">
        <f t="shared" si="21"/>
        <v>0</v>
      </c>
      <c r="Q161" s="123">
        <f t="shared" si="27"/>
        <v>1</v>
      </c>
      <c r="R161" s="123">
        <f t="shared" si="22"/>
        <v>-29</v>
      </c>
      <c r="S161" s="126">
        <v>21</v>
      </c>
      <c r="T161" s="125">
        <f t="shared" si="23"/>
        <v>0</v>
      </c>
      <c r="U161" s="125">
        <f t="shared" si="24"/>
        <v>-4474.12</v>
      </c>
      <c r="V161" s="126">
        <f t="shared" si="25"/>
        <v>121</v>
      </c>
      <c r="Y161" s="10"/>
    </row>
    <row r="162" spans="1:25" ht="12.75">
      <c r="A162" s="120" t="s">
        <v>275</v>
      </c>
      <c r="B162" s="121">
        <v>43369</v>
      </c>
      <c r="C162" s="120" t="s">
        <v>514</v>
      </c>
      <c r="D162" s="135">
        <v>46.2</v>
      </c>
      <c r="K162" s="121">
        <v>43369</v>
      </c>
      <c r="M162" s="121">
        <v>43369</v>
      </c>
      <c r="N162" s="121">
        <v>43369</v>
      </c>
      <c r="O162" s="123">
        <f t="shared" si="20"/>
        <v>0</v>
      </c>
      <c r="P162" s="123">
        <f t="shared" si="21"/>
        <v>0</v>
      </c>
      <c r="Q162" s="123">
        <f t="shared" si="27"/>
        <v>0</v>
      </c>
      <c r="R162" s="123">
        <f t="shared" si="22"/>
        <v>-30</v>
      </c>
      <c r="S162" s="126">
        <v>29</v>
      </c>
      <c r="T162" s="125">
        <f t="shared" si="23"/>
        <v>0</v>
      </c>
      <c r="U162" s="125">
        <f t="shared" si="24"/>
        <v>-1386</v>
      </c>
      <c r="V162" s="126">
        <f t="shared" si="25"/>
        <v>129</v>
      </c>
      <c r="Y162" s="10"/>
    </row>
    <row r="163" spans="1:25" ht="12.75">
      <c r="A163" s="136" t="s">
        <v>276</v>
      </c>
      <c r="B163" s="127">
        <v>43370</v>
      </c>
      <c r="C163" s="136" t="s">
        <v>515</v>
      </c>
      <c r="D163" s="137">
        <v>489.77</v>
      </c>
      <c r="K163" s="127">
        <v>43370</v>
      </c>
      <c r="M163" s="127">
        <v>43390</v>
      </c>
      <c r="N163" s="127">
        <v>43390</v>
      </c>
      <c r="O163" s="123">
        <f t="shared" si="20"/>
        <v>-20</v>
      </c>
      <c r="P163" s="123">
        <f t="shared" si="21"/>
        <v>0</v>
      </c>
      <c r="Q163" s="123">
        <f t="shared" si="27"/>
        <v>20</v>
      </c>
      <c r="R163" s="123">
        <f t="shared" si="22"/>
        <v>-10</v>
      </c>
      <c r="S163" s="126">
        <v>29</v>
      </c>
      <c r="T163" s="125">
        <f t="shared" si="23"/>
        <v>0</v>
      </c>
      <c r="U163" s="125">
        <f t="shared" si="24"/>
        <v>-4897.7</v>
      </c>
      <c r="V163" s="126">
        <f t="shared" si="25"/>
        <v>129</v>
      </c>
      <c r="Y163" s="10"/>
    </row>
    <row r="164" spans="1:25" ht="12.75">
      <c r="A164" s="136" t="s">
        <v>277</v>
      </c>
      <c r="B164" s="127">
        <v>43282</v>
      </c>
      <c r="C164" s="136" t="s">
        <v>516</v>
      </c>
      <c r="D164" s="137">
        <v>384</v>
      </c>
      <c r="K164" s="127">
        <v>43282</v>
      </c>
      <c r="M164" s="127">
        <v>43388</v>
      </c>
      <c r="N164" s="127">
        <v>43388</v>
      </c>
      <c r="O164" s="123">
        <f t="shared" si="20"/>
        <v>-106</v>
      </c>
      <c r="P164" s="123">
        <f t="shared" si="21"/>
        <v>0</v>
      </c>
      <c r="Q164" s="123">
        <f aca="true" t="shared" si="28" ref="Q164:Q173">+N164-K164</f>
        <v>106</v>
      </c>
      <c r="R164" s="123">
        <f t="shared" si="22"/>
        <v>76</v>
      </c>
      <c r="S164" s="126">
        <v>29</v>
      </c>
      <c r="T164" s="125">
        <f t="shared" si="23"/>
        <v>0</v>
      </c>
      <c r="U164" s="125">
        <f t="shared" si="24"/>
        <v>29184</v>
      </c>
      <c r="V164" s="126">
        <f t="shared" si="25"/>
        <v>129</v>
      </c>
      <c r="Y164" s="10"/>
    </row>
    <row r="165" spans="1:25" ht="12.75">
      <c r="A165" s="120" t="s">
        <v>280</v>
      </c>
      <c r="B165" s="121">
        <v>43312</v>
      </c>
      <c r="C165" s="120" t="s">
        <v>519</v>
      </c>
      <c r="D165" s="135">
        <v>164.85</v>
      </c>
      <c r="K165" s="121">
        <v>43312</v>
      </c>
      <c r="M165" s="121">
        <v>43360</v>
      </c>
      <c r="N165" s="121">
        <v>43360</v>
      </c>
      <c r="O165" s="123">
        <f t="shared" si="20"/>
        <v>-48</v>
      </c>
      <c r="P165" s="123">
        <f t="shared" si="21"/>
        <v>0</v>
      </c>
      <c r="Q165" s="123">
        <f t="shared" si="28"/>
        <v>48</v>
      </c>
      <c r="R165" s="123">
        <f t="shared" si="22"/>
        <v>18</v>
      </c>
      <c r="S165" s="126">
        <v>29</v>
      </c>
      <c r="T165" s="125">
        <f t="shared" si="23"/>
        <v>0</v>
      </c>
      <c r="U165" s="125">
        <f t="shared" si="24"/>
        <v>2967.2999999999997</v>
      </c>
      <c r="V165" s="126">
        <f t="shared" si="25"/>
        <v>129</v>
      </c>
      <c r="Y165" s="10"/>
    </row>
    <row r="166" spans="1:25" ht="12.75">
      <c r="A166" s="120" t="s">
        <v>281</v>
      </c>
      <c r="B166" s="121">
        <v>43343</v>
      </c>
      <c r="C166" s="120" t="s">
        <v>520</v>
      </c>
      <c r="D166" s="135">
        <v>607.98</v>
      </c>
      <c r="K166" s="121">
        <v>43343</v>
      </c>
      <c r="M166" s="121">
        <v>43334</v>
      </c>
      <c r="N166" s="121">
        <v>43334</v>
      </c>
      <c r="O166" s="123">
        <f t="shared" si="20"/>
        <v>9</v>
      </c>
      <c r="P166" s="123">
        <f t="shared" si="21"/>
        <v>0</v>
      </c>
      <c r="Q166" s="123">
        <f t="shared" si="28"/>
        <v>-9</v>
      </c>
      <c r="R166" s="123">
        <f t="shared" si="22"/>
        <v>-39</v>
      </c>
      <c r="S166" s="126">
        <v>29</v>
      </c>
      <c r="T166" s="125">
        <f t="shared" si="23"/>
        <v>0</v>
      </c>
      <c r="U166" s="125">
        <f t="shared" si="24"/>
        <v>-23711.22</v>
      </c>
      <c r="V166" s="126">
        <f t="shared" si="25"/>
        <v>129</v>
      </c>
      <c r="Y166" s="10"/>
    </row>
    <row r="167" spans="1:25" ht="12.75">
      <c r="A167" s="120" t="s">
        <v>282</v>
      </c>
      <c r="B167" s="121">
        <v>43329</v>
      </c>
      <c r="C167" s="120" t="s">
        <v>521</v>
      </c>
      <c r="D167" s="135">
        <v>121.22</v>
      </c>
      <c r="K167" s="121">
        <v>43329</v>
      </c>
      <c r="M167" s="121">
        <v>43370</v>
      </c>
      <c r="N167" s="121">
        <v>43370</v>
      </c>
      <c r="O167" s="123">
        <f t="shared" si="20"/>
        <v>-41</v>
      </c>
      <c r="P167" s="123">
        <f t="shared" si="21"/>
        <v>0</v>
      </c>
      <c r="Q167" s="123">
        <f t="shared" si="28"/>
        <v>41</v>
      </c>
      <c r="R167" s="123">
        <f t="shared" si="22"/>
        <v>11</v>
      </c>
      <c r="S167" s="126">
        <v>29</v>
      </c>
      <c r="T167" s="125">
        <f t="shared" si="23"/>
        <v>0</v>
      </c>
      <c r="U167" s="125">
        <f t="shared" si="24"/>
        <v>1333.42</v>
      </c>
      <c r="V167" s="126">
        <f t="shared" si="25"/>
        <v>129</v>
      </c>
      <c r="Y167" s="10"/>
    </row>
    <row r="168" spans="1:25" ht="12.75">
      <c r="A168" s="136" t="s">
        <v>285</v>
      </c>
      <c r="B168" s="127">
        <v>43370</v>
      </c>
      <c r="C168" s="136" t="s">
        <v>524</v>
      </c>
      <c r="D168" s="137">
        <v>237.91</v>
      </c>
      <c r="K168" s="127">
        <v>43370</v>
      </c>
      <c r="M168" s="127">
        <v>43390</v>
      </c>
      <c r="N168" s="127">
        <v>43390</v>
      </c>
      <c r="O168" s="123">
        <f t="shared" si="20"/>
        <v>-20</v>
      </c>
      <c r="P168" s="123">
        <f t="shared" si="21"/>
        <v>0</v>
      </c>
      <c r="Q168" s="123">
        <f t="shared" si="28"/>
        <v>20</v>
      </c>
      <c r="R168" s="123">
        <f t="shared" si="22"/>
        <v>-10</v>
      </c>
      <c r="S168" s="126">
        <v>29</v>
      </c>
      <c r="T168" s="125">
        <f t="shared" si="23"/>
        <v>0</v>
      </c>
      <c r="U168" s="125">
        <f t="shared" si="24"/>
        <v>-2379.1</v>
      </c>
      <c r="V168" s="126">
        <f t="shared" si="25"/>
        <v>129</v>
      </c>
      <c r="Y168" s="10"/>
    </row>
    <row r="169" spans="1:25" ht="12.75">
      <c r="A169" s="136" t="s">
        <v>286</v>
      </c>
      <c r="B169" s="127">
        <v>43370</v>
      </c>
      <c r="C169" s="136" t="s">
        <v>525</v>
      </c>
      <c r="D169" s="137">
        <v>314.13</v>
      </c>
      <c r="K169" s="127">
        <v>43370</v>
      </c>
      <c r="M169" s="127">
        <v>43390</v>
      </c>
      <c r="N169" s="127">
        <v>43390</v>
      </c>
      <c r="O169" s="123">
        <f t="shared" si="20"/>
        <v>-20</v>
      </c>
      <c r="P169" s="123">
        <f t="shared" si="21"/>
        <v>0</v>
      </c>
      <c r="Q169" s="123">
        <f t="shared" si="28"/>
        <v>20</v>
      </c>
      <c r="R169" s="123">
        <f t="shared" si="22"/>
        <v>-10</v>
      </c>
      <c r="S169" s="126">
        <v>29</v>
      </c>
      <c r="T169" s="125">
        <f t="shared" si="23"/>
        <v>0</v>
      </c>
      <c r="U169" s="125">
        <f t="shared" si="24"/>
        <v>-3141.3</v>
      </c>
      <c r="V169" s="126">
        <f t="shared" si="25"/>
        <v>129</v>
      </c>
      <c r="Y169" s="10"/>
    </row>
    <row r="170" spans="1:25" ht="12.75">
      <c r="A170" s="136" t="s">
        <v>287</v>
      </c>
      <c r="B170" s="127">
        <v>43370</v>
      </c>
      <c r="C170" s="136" t="s">
        <v>526</v>
      </c>
      <c r="D170" s="137">
        <v>574.97</v>
      </c>
      <c r="K170" s="127">
        <v>43370</v>
      </c>
      <c r="M170" s="127">
        <v>43390</v>
      </c>
      <c r="N170" s="127">
        <v>43390</v>
      </c>
      <c r="O170" s="123">
        <f t="shared" si="20"/>
        <v>-20</v>
      </c>
      <c r="P170" s="123">
        <f t="shared" si="21"/>
        <v>0</v>
      </c>
      <c r="Q170" s="123">
        <f t="shared" si="28"/>
        <v>20</v>
      </c>
      <c r="R170" s="123">
        <f t="shared" si="22"/>
        <v>-10</v>
      </c>
      <c r="S170" s="126">
        <v>29</v>
      </c>
      <c r="T170" s="125">
        <f t="shared" si="23"/>
        <v>0</v>
      </c>
      <c r="U170" s="125">
        <f t="shared" si="24"/>
        <v>-5749.700000000001</v>
      </c>
      <c r="V170" s="126">
        <f t="shared" si="25"/>
        <v>129</v>
      </c>
      <c r="Y170" s="10"/>
    </row>
    <row r="171" spans="1:25" ht="12.75">
      <c r="A171" s="136" t="s">
        <v>288</v>
      </c>
      <c r="B171" s="127">
        <v>43336</v>
      </c>
      <c r="C171" s="136" t="s">
        <v>527</v>
      </c>
      <c r="D171" s="137">
        <v>166</v>
      </c>
      <c r="K171" s="127">
        <v>43336</v>
      </c>
      <c r="M171" s="127">
        <v>43370</v>
      </c>
      <c r="N171" s="127">
        <v>43370</v>
      </c>
      <c r="O171" s="123">
        <f t="shared" si="20"/>
        <v>-34</v>
      </c>
      <c r="P171" s="123">
        <f t="shared" si="21"/>
        <v>0</v>
      </c>
      <c r="Q171" s="123">
        <f t="shared" si="28"/>
        <v>34</v>
      </c>
      <c r="R171" s="123">
        <f t="shared" si="22"/>
        <v>4</v>
      </c>
      <c r="S171" s="126">
        <v>29</v>
      </c>
      <c r="T171" s="125">
        <f t="shared" si="23"/>
        <v>0</v>
      </c>
      <c r="U171" s="125">
        <f t="shared" si="24"/>
        <v>664</v>
      </c>
      <c r="V171" s="126">
        <f t="shared" si="25"/>
        <v>129</v>
      </c>
      <c r="Y171" s="10"/>
    </row>
    <row r="172" spans="1:25" ht="12.75">
      <c r="A172" s="120" t="s">
        <v>289</v>
      </c>
      <c r="B172" s="121">
        <v>43329</v>
      </c>
      <c r="C172" s="120" t="s">
        <v>528</v>
      </c>
      <c r="D172" s="135">
        <v>121.22</v>
      </c>
      <c r="K172" s="121">
        <v>43329</v>
      </c>
      <c r="M172" s="121">
        <v>43370</v>
      </c>
      <c r="N172" s="121">
        <v>43370</v>
      </c>
      <c r="O172" s="123">
        <f t="shared" si="20"/>
        <v>-41</v>
      </c>
      <c r="P172" s="123">
        <f t="shared" si="21"/>
        <v>0</v>
      </c>
      <c r="Q172" s="123">
        <f t="shared" si="28"/>
        <v>41</v>
      </c>
      <c r="R172" s="123">
        <f t="shared" si="22"/>
        <v>11</v>
      </c>
      <c r="S172" s="126">
        <v>29</v>
      </c>
      <c r="T172" s="125">
        <f t="shared" si="23"/>
        <v>0</v>
      </c>
      <c r="U172" s="125">
        <f t="shared" si="24"/>
        <v>1333.42</v>
      </c>
      <c r="V172" s="126">
        <f t="shared" si="25"/>
        <v>129</v>
      </c>
      <c r="Y172" s="10"/>
    </row>
    <row r="173" spans="1:25" ht="12.75">
      <c r="A173" s="136" t="s">
        <v>290</v>
      </c>
      <c r="B173" s="127">
        <v>43373</v>
      </c>
      <c r="C173" s="136" t="s">
        <v>529</v>
      </c>
      <c r="D173" s="137">
        <v>158.22</v>
      </c>
      <c r="K173" s="127">
        <v>43373</v>
      </c>
      <c r="M173" s="127">
        <v>43378</v>
      </c>
      <c r="N173" s="127">
        <v>43378</v>
      </c>
      <c r="O173" s="123">
        <f t="shared" si="20"/>
        <v>-5</v>
      </c>
      <c r="P173" s="123">
        <f t="shared" si="21"/>
        <v>0</v>
      </c>
      <c r="Q173" s="123">
        <f t="shared" si="28"/>
        <v>5</v>
      </c>
      <c r="R173" s="123">
        <f t="shared" si="22"/>
        <v>-25</v>
      </c>
      <c r="S173" s="126">
        <v>29</v>
      </c>
      <c r="T173" s="125">
        <f t="shared" si="23"/>
        <v>0</v>
      </c>
      <c r="U173" s="125">
        <f t="shared" si="24"/>
        <v>-3955.5</v>
      </c>
      <c r="V173" s="126">
        <f t="shared" si="25"/>
        <v>129</v>
      </c>
      <c r="Y173" s="10"/>
    </row>
    <row r="174" spans="1:25" ht="12.75">
      <c r="A174" s="136" t="s">
        <v>291</v>
      </c>
      <c r="B174" s="127">
        <v>43370</v>
      </c>
      <c r="C174" s="136" t="s">
        <v>530</v>
      </c>
      <c r="D174" s="137">
        <v>19.23</v>
      </c>
      <c r="K174" s="127">
        <v>43370</v>
      </c>
      <c r="M174" s="127">
        <v>43390</v>
      </c>
      <c r="N174" s="127">
        <v>43390</v>
      </c>
      <c r="O174" s="123">
        <f t="shared" si="20"/>
        <v>-20</v>
      </c>
      <c r="P174" s="123">
        <f t="shared" si="21"/>
        <v>0</v>
      </c>
      <c r="Q174" s="123">
        <f aca="true" t="shared" si="29" ref="Q174:Q184">+N174-K174</f>
        <v>20</v>
      </c>
      <c r="R174" s="123">
        <f t="shared" si="22"/>
        <v>-10</v>
      </c>
      <c r="S174" s="126">
        <v>29</v>
      </c>
      <c r="T174" s="125">
        <f t="shared" si="23"/>
        <v>0</v>
      </c>
      <c r="U174" s="125">
        <f t="shared" si="24"/>
        <v>-192.3</v>
      </c>
      <c r="V174" s="126">
        <f t="shared" si="25"/>
        <v>129</v>
      </c>
      <c r="Y174" s="10"/>
    </row>
    <row r="175" spans="1:25" ht="12.75">
      <c r="A175" s="136" t="s">
        <v>292</v>
      </c>
      <c r="B175" s="127">
        <v>43370</v>
      </c>
      <c r="C175" s="136" t="s">
        <v>531</v>
      </c>
      <c r="D175" s="137">
        <v>18.84</v>
      </c>
      <c r="K175" s="127">
        <v>43370</v>
      </c>
      <c r="M175" s="127">
        <v>43390</v>
      </c>
      <c r="N175" s="127">
        <v>43390</v>
      </c>
      <c r="O175" s="123">
        <f t="shared" si="20"/>
        <v>-20</v>
      </c>
      <c r="P175" s="123">
        <f t="shared" si="21"/>
        <v>0</v>
      </c>
      <c r="Q175" s="123">
        <f t="shared" si="29"/>
        <v>20</v>
      </c>
      <c r="R175" s="123">
        <f t="shared" si="22"/>
        <v>-10</v>
      </c>
      <c r="S175" s="126">
        <v>29</v>
      </c>
      <c r="T175" s="125">
        <f t="shared" si="23"/>
        <v>0</v>
      </c>
      <c r="U175" s="125">
        <f t="shared" si="24"/>
        <v>-188.4</v>
      </c>
      <c r="V175" s="126">
        <f t="shared" si="25"/>
        <v>129</v>
      </c>
      <c r="Y175" s="10"/>
    </row>
    <row r="176" spans="1:25" ht="12.75">
      <c r="A176" s="136" t="s">
        <v>293</v>
      </c>
      <c r="B176" s="127">
        <v>43370</v>
      </c>
      <c r="C176" s="136" t="s">
        <v>532</v>
      </c>
      <c r="D176" s="137">
        <v>17.38</v>
      </c>
      <c r="K176" s="127">
        <v>43370</v>
      </c>
      <c r="M176" s="127">
        <v>43390</v>
      </c>
      <c r="N176" s="127">
        <v>43390</v>
      </c>
      <c r="O176" s="123">
        <f t="shared" si="20"/>
        <v>-20</v>
      </c>
      <c r="P176" s="123">
        <f t="shared" si="21"/>
        <v>0</v>
      </c>
      <c r="Q176" s="123">
        <f t="shared" si="29"/>
        <v>20</v>
      </c>
      <c r="R176" s="123">
        <f t="shared" si="22"/>
        <v>-10</v>
      </c>
      <c r="S176" s="126">
        <v>29</v>
      </c>
      <c r="T176" s="125">
        <f t="shared" si="23"/>
        <v>0</v>
      </c>
      <c r="U176" s="125">
        <f t="shared" si="24"/>
        <v>-173.79999999999998</v>
      </c>
      <c r="V176" s="126">
        <f t="shared" si="25"/>
        <v>129</v>
      </c>
      <c r="Y176" s="10"/>
    </row>
    <row r="177" spans="1:25" ht="12.75">
      <c r="A177" s="136" t="s">
        <v>294</v>
      </c>
      <c r="B177" s="127">
        <v>43370</v>
      </c>
      <c r="C177" s="136" t="s">
        <v>533</v>
      </c>
      <c r="D177" s="137">
        <v>35.07</v>
      </c>
      <c r="K177" s="127">
        <v>43370</v>
      </c>
      <c r="M177" s="127">
        <v>43390</v>
      </c>
      <c r="N177" s="127">
        <v>43390</v>
      </c>
      <c r="O177" s="123">
        <f t="shared" si="20"/>
        <v>-20</v>
      </c>
      <c r="P177" s="123">
        <f t="shared" si="21"/>
        <v>0</v>
      </c>
      <c r="Q177" s="123">
        <f t="shared" si="29"/>
        <v>20</v>
      </c>
      <c r="R177" s="123">
        <f t="shared" si="22"/>
        <v>-10</v>
      </c>
      <c r="S177" s="126">
        <v>29</v>
      </c>
      <c r="T177" s="125">
        <f t="shared" si="23"/>
        <v>0</v>
      </c>
      <c r="U177" s="125">
        <f t="shared" si="24"/>
        <v>-350.7</v>
      </c>
      <c r="V177" s="126">
        <f t="shared" si="25"/>
        <v>129</v>
      </c>
      <c r="Y177" s="10"/>
    </row>
    <row r="178" spans="1:25" ht="12.75">
      <c r="A178" s="136" t="s">
        <v>295</v>
      </c>
      <c r="B178" s="127">
        <v>43370</v>
      </c>
      <c r="C178" s="136" t="s">
        <v>534</v>
      </c>
      <c r="D178" s="137">
        <v>26.4</v>
      </c>
      <c r="K178" s="127">
        <v>43370</v>
      </c>
      <c r="M178" s="127">
        <v>43390</v>
      </c>
      <c r="N178" s="127">
        <v>43390</v>
      </c>
      <c r="O178" s="123">
        <f t="shared" si="20"/>
        <v>-20</v>
      </c>
      <c r="P178" s="123">
        <f t="shared" si="21"/>
        <v>0</v>
      </c>
      <c r="Q178" s="123">
        <f t="shared" si="29"/>
        <v>20</v>
      </c>
      <c r="R178" s="123">
        <f t="shared" si="22"/>
        <v>-10</v>
      </c>
      <c r="S178" s="126">
        <v>29</v>
      </c>
      <c r="T178" s="125">
        <f t="shared" si="23"/>
        <v>0</v>
      </c>
      <c r="U178" s="125">
        <f t="shared" si="24"/>
        <v>-264</v>
      </c>
      <c r="V178" s="126">
        <f t="shared" si="25"/>
        <v>129</v>
      </c>
      <c r="Y178" s="10"/>
    </row>
    <row r="179" spans="1:25" ht="12.75">
      <c r="A179" s="136" t="s">
        <v>296</v>
      </c>
      <c r="B179" s="127">
        <v>43370</v>
      </c>
      <c r="C179" s="136" t="s">
        <v>535</v>
      </c>
      <c r="D179" s="137">
        <v>34.09</v>
      </c>
      <c r="K179" s="127">
        <v>43370</v>
      </c>
      <c r="M179" s="127">
        <v>43390</v>
      </c>
      <c r="N179" s="127">
        <v>43390</v>
      </c>
      <c r="O179" s="123">
        <f t="shared" si="20"/>
        <v>-20</v>
      </c>
      <c r="P179" s="123">
        <f t="shared" si="21"/>
        <v>0</v>
      </c>
      <c r="Q179" s="123">
        <f t="shared" si="29"/>
        <v>20</v>
      </c>
      <c r="R179" s="123">
        <f t="shared" si="22"/>
        <v>-10</v>
      </c>
      <c r="S179" s="126">
        <v>29</v>
      </c>
      <c r="T179" s="125">
        <f t="shared" si="23"/>
        <v>0</v>
      </c>
      <c r="U179" s="125">
        <f t="shared" si="24"/>
        <v>-340.90000000000003</v>
      </c>
      <c r="V179" s="126">
        <f t="shared" si="25"/>
        <v>129</v>
      </c>
      <c r="Y179" s="10"/>
    </row>
    <row r="180" spans="1:25" ht="12.75">
      <c r="A180" s="120" t="s">
        <v>299</v>
      </c>
      <c r="B180" s="121">
        <v>43349</v>
      </c>
      <c r="C180" s="120" t="s">
        <v>538</v>
      </c>
      <c r="D180" s="135">
        <v>80</v>
      </c>
      <c r="K180" s="121">
        <v>43349</v>
      </c>
      <c r="M180" s="121">
        <v>43349</v>
      </c>
      <c r="N180" s="121">
        <v>43349</v>
      </c>
      <c r="O180" s="123">
        <f t="shared" si="20"/>
        <v>0</v>
      </c>
      <c r="P180" s="123">
        <f t="shared" si="21"/>
        <v>0</v>
      </c>
      <c r="Q180" s="123">
        <f t="shared" si="29"/>
        <v>0</v>
      </c>
      <c r="R180" s="123">
        <f t="shared" si="22"/>
        <v>-30</v>
      </c>
      <c r="S180" s="124">
        <v>29</v>
      </c>
      <c r="T180" s="125">
        <f t="shared" si="23"/>
        <v>0</v>
      </c>
      <c r="U180" s="125">
        <f t="shared" si="24"/>
        <v>-2400</v>
      </c>
      <c r="V180" s="126">
        <f t="shared" si="25"/>
        <v>129</v>
      </c>
      <c r="Y180" s="10"/>
    </row>
    <row r="181" spans="1:25" ht="12.75">
      <c r="A181" s="120" t="s">
        <v>302</v>
      </c>
      <c r="B181" s="121">
        <v>43318</v>
      </c>
      <c r="C181" s="120" t="s">
        <v>541</v>
      </c>
      <c r="D181" s="135">
        <v>4356</v>
      </c>
      <c r="K181" s="121">
        <v>43318</v>
      </c>
      <c r="M181" s="121">
        <v>43332</v>
      </c>
      <c r="N181" s="121">
        <v>43332</v>
      </c>
      <c r="O181" s="123">
        <f t="shared" si="20"/>
        <v>-14</v>
      </c>
      <c r="P181" s="123">
        <f t="shared" si="21"/>
        <v>0</v>
      </c>
      <c r="Q181" s="123">
        <f t="shared" si="29"/>
        <v>14</v>
      </c>
      <c r="R181" s="123">
        <f t="shared" si="22"/>
        <v>-16</v>
      </c>
      <c r="S181" s="124">
        <v>29</v>
      </c>
      <c r="T181" s="125">
        <f t="shared" si="23"/>
        <v>0</v>
      </c>
      <c r="U181" s="125">
        <f t="shared" si="24"/>
        <v>-69696</v>
      </c>
      <c r="V181" s="126">
        <f t="shared" si="25"/>
        <v>129</v>
      </c>
      <c r="Y181" s="10"/>
    </row>
    <row r="182" spans="1:25" ht="12.75">
      <c r="A182" s="136" t="s">
        <v>303</v>
      </c>
      <c r="B182" s="127">
        <v>43373</v>
      </c>
      <c r="C182" s="136" t="s">
        <v>542</v>
      </c>
      <c r="D182" s="137">
        <v>556.6</v>
      </c>
      <c r="K182" s="127">
        <v>43373</v>
      </c>
      <c r="M182" s="127">
        <v>43373</v>
      </c>
      <c r="N182" s="127">
        <v>43373</v>
      </c>
      <c r="O182" s="123">
        <f t="shared" si="20"/>
        <v>0</v>
      </c>
      <c r="P182" s="123">
        <f t="shared" si="21"/>
        <v>0</v>
      </c>
      <c r="Q182" s="123">
        <f t="shared" si="29"/>
        <v>0</v>
      </c>
      <c r="R182" s="123">
        <f t="shared" si="22"/>
        <v>-30</v>
      </c>
      <c r="S182" s="124">
        <v>20</v>
      </c>
      <c r="T182" s="125">
        <f t="shared" si="23"/>
        <v>0</v>
      </c>
      <c r="U182" s="125">
        <f t="shared" si="24"/>
        <v>-16698</v>
      </c>
      <c r="V182" s="126">
        <f t="shared" si="25"/>
        <v>120</v>
      </c>
      <c r="Y182" s="10"/>
    </row>
    <row r="183" spans="1:25" ht="12.75">
      <c r="A183" s="136" t="s">
        <v>304</v>
      </c>
      <c r="B183" s="127">
        <v>43373</v>
      </c>
      <c r="C183" s="136" t="s">
        <v>543</v>
      </c>
      <c r="D183" s="137">
        <v>222.04</v>
      </c>
      <c r="K183" s="127">
        <v>43373</v>
      </c>
      <c r="M183" s="127">
        <v>43375</v>
      </c>
      <c r="N183" s="127">
        <v>43375</v>
      </c>
      <c r="O183" s="123">
        <f t="shared" si="20"/>
        <v>-2</v>
      </c>
      <c r="P183" s="123">
        <f t="shared" si="21"/>
        <v>0</v>
      </c>
      <c r="Q183" s="123">
        <f t="shared" si="29"/>
        <v>2</v>
      </c>
      <c r="R183" s="123">
        <f t="shared" si="22"/>
        <v>-28</v>
      </c>
      <c r="S183" s="124">
        <v>29</v>
      </c>
      <c r="T183" s="125">
        <f t="shared" si="23"/>
        <v>0</v>
      </c>
      <c r="U183" s="125">
        <f t="shared" si="24"/>
        <v>-6217.12</v>
      </c>
      <c r="V183" s="126">
        <f t="shared" si="25"/>
        <v>129</v>
      </c>
      <c r="Y183" s="10"/>
    </row>
    <row r="184" spans="1:25" ht="12.75">
      <c r="A184" s="136" t="s">
        <v>306</v>
      </c>
      <c r="B184" s="127">
        <v>43371</v>
      </c>
      <c r="C184" s="136" t="s">
        <v>545</v>
      </c>
      <c r="D184" s="137">
        <v>30</v>
      </c>
      <c r="K184" s="127">
        <v>43371</v>
      </c>
      <c r="M184" s="127">
        <v>43388</v>
      </c>
      <c r="N184" s="127">
        <v>43388</v>
      </c>
      <c r="O184" s="123">
        <f t="shared" si="20"/>
        <v>-17</v>
      </c>
      <c r="P184" s="123">
        <f t="shared" si="21"/>
        <v>0</v>
      </c>
      <c r="Q184" s="123">
        <f t="shared" si="29"/>
        <v>17</v>
      </c>
      <c r="R184" s="123">
        <f t="shared" si="22"/>
        <v>-13</v>
      </c>
      <c r="S184" s="124">
        <v>29</v>
      </c>
      <c r="T184" s="125">
        <f t="shared" si="23"/>
        <v>0</v>
      </c>
      <c r="U184" s="125">
        <f t="shared" si="24"/>
        <v>-390</v>
      </c>
      <c r="V184" s="126">
        <f t="shared" si="25"/>
        <v>129</v>
      </c>
      <c r="Y184" s="10"/>
    </row>
    <row r="185" spans="1:22" ht="12.75">
      <c r="A185" s="136" t="s">
        <v>310</v>
      </c>
      <c r="B185" s="127">
        <v>43370</v>
      </c>
      <c r="C185" s="136" t="s">
        <v>548</v>
      </c>
      <c r="D185" s="137">
        <v>373.72</v>
      </c>
      <c r="K185" s="127">
        <v>43370</v>
      </c>
      <c r="M185" s="127">
        <v>43390</v>
      </c>
      <c r="N185" s="127">
        <v>43390</v>
      </c>
      <c r="O185" s="123">
        <f t="shared" si="20"/>
        <v>-20</v>
      </c>
      <c r="P185" s="123">
        <f t="shared" si="21"/>
        <v>0</v>
      </c>
      <c r="Q185" s="123">
        <f>+N185-K185</f>
        <v>20</v>
      </c>
      <c r="R185" s="123">
        <f t="shared" si="22"/>
        <v>-10</v>
      </c>
      <c r="S185" s="124">
        <v>29</v>
      </c>
      <c r="T185" s="125">
        <f t="shared" si="23"/>
        <v>0</v>
      </c>
      <c r="U185" s="125">
        <f t="shared" si="24"/>
        <v>-3737.2000000000003</v>
      </c>
      <c r="V185" s="126">
        <f t="shared" si="25"/>
        <v>129</v>
      </c>
    </row>
    <row r="186" spans="1:22" ht="12.75">
      <c r="A186" s="136" t="s">
        <v>311</v>
      </c>
      <c r="B186" s="127">
        <v>43370</v>
      </c>
      <c r="C186" s="136" t="s">
        <v>549</v>
      </c>
      <c r="D186" s="137">
        <v>359.21</v>
      </c>
      <c r="K186" s="127">
        <v>43370</v>
      </c>
      <c r="M186" s="127">
        <v>43390</v>
      </c>
      <c r="N186" s="127">
        <v>43390</v>
      </c>
      <c r="O186" s="123">
        <f t="shared" si="20"/>
        <v>-20</v>
      </c>
      <c r="P186" s="123">
        <f t="shared" si="21"/>
        <v>0</v>
      </c>
      <c r="Q186" s="123">
        <f aca="true" t="shared" si="30" ref="Q186:Q218">+N186-K186</f>
        <v>20</v>
      </c>
      <c r="R186" s="123">
        <f t="shared" si="22"/>
        <v>-10</v>
      </c>
      <c r="S186" s="124">
        <v>29</v>
      </c>
      <c r="T186" s="125">
        <f t="shared" si="23"/>
        <v>0</v>
      </c>
      <c r="U186" s="125">
        <f t="shared" si="24"/>
        <v>-3592.1</v>
      </c>
      <c r="V186" s="126">
        <f t="shared" si="25"/>
        <v>129</v>
      </c>
    </row>
    <row r="187" spans="1:22" ht="12.75">
      <c r="A187" s="136" t="s">
        <v>312</v>
      </c>
      <c r="B187" s="127">
        <v>43373</v>
      </c>
      <c r="C187" s="136" t="s">
        <v>550</v>
      </c>
      <c r="D187" s="137">
        <v>1108.17</v>
      </c>
      <c r="K187" s="127">
        <v>43373</v>
      </c>
      <c r="M187" s="127">
        <v>43375</v>
      </c>
      <c r="N187" s="127">
        <v>43375</v>
      </c>
      <c r="O187" s="123">
        <f t="shared" si="20"/>
        <v>-2</v>
      </c>
      <c r="P187" s="123">
        <f t="shared" si="21"/>
        <v>0</v>
      </c>
      <c r="Q187" s="123">
        <f t="shared" si="30"/>
        <v>2</v>
      </c>
      <c r="R187" s="123">
        <f t="shared" si="22"/>
        <v>-28</v>
      </c>
      <c r="S187" s="124">
        <v>29</v>
      </c>
      <c r="T187" s="125">
        <f t="shared" si="23"/>
        <v>0</v>
      </c>
      <c r="U187" s="125">
        <f t="shared" si="24"/>
        <v>-31028.760000000002</v>
      </c>
      <c r="V187" s="126">
        <f t="shared" si="25"/>
        <v>129</v>
      </c>
    </row>
    <row r="188" spans="1:22" ht="12.75">
      <c r="A188" s="120" t="s">
        <v>313</v>
      </c>
      <c r="B188" s="121">
        <v>43362</v>
      </c>
      <c r="C188" s="120" t="s">
        <v>551</v>
      </c>
      <c r="D188" s="135">
        <v>62.4</v>
      </c>
      <c r="K188" s="121">
        <v>43362</v>
      </c>
      <c r="M188" s="121">
        <v>43362</v>
      </c>
      <c r="N188" s="121">
        <v>43362</v>
      </c>
      <c r="O188" s="123">
        <f t="shared" si="20"/>
        <v>0</v>
      </c>
      <c r="P188" s="123">
        <f t="shared" si="21"/>
        <v>0</v>
      </c>
      <c r="Q188" s="123">
        <f t="shared" si="30"/>
        <v>0</v>
      </c>
      <c r="R188" s="123">
        <f t="shared" si="22"/>
        <v>-30</v>
      </c>
      <c r="S188" s="124">
        <v>29</v>
      </c>
      <c r="T188" s="125">
        <f t="shared" si="23"/>
        <v>0</v>
      </c>
      <c r="U188" s="125">
        <f t="shared" si="24"/>
        <v>-1872</v>
      </c>
      <c r="V188" s="126">
        <f t="shared" si="25"/>
        <v>129</v>
      </c>
    </row>
    <row r="189" spans="1:22" ht="12.75">
      <c r="A189" s="120" t="s">
        <v>314</v>
      </c>
      <c r="B189" s="121">
        <v>43282</v>
      </c>
      <c r="C189" s="120" t="s">
        <v>552</v>
      </c>
      <c r="D189" s="135">
        <v>217.8</v>
      </c>
      <c r="K189" s="121">
        <v>43282</v>
      </c>
      <c r="M189" s="121">
        <v>43286</v>
      </c>
      <c r="N189" s="121">
        <v>43286</v>
      </c>
      <c r="O189" s="123">
        <f t="shared" si="20"/>
        <v>-4</v>
      </c>
      <c r="P189" s="123">
        <f t="shared" si="21"/>
        <v>0</v>
      </c>
      <c r="Q189" s="123">
        <f t="shared" si="30"/>
        <v>4</v>
      </c>
      <c r="R189" s="123">
        <f t="shared" si="22"/>
        <v>-26</v>
      </c>
      <c r="S189" s="124">
        <v>20</v>
      </c>
      <c r="T189" s="125">
        <f t="shared" si="23"/>
        <v>0</v>
      </c>
      <c r="U189" s="125">
        <f t="shared" si="24"/>
        <v>-5662.8</v>
      </c>
      <c r="V189" s="126">
        <f t="shared" si="25"/>
        <v>120</v>
      </c>
    </row>
    <row r="190" spans="1:22" ht="12.75">
      <c r="A190" s="136" t="s">
        <v>315</v>
      </c>
      <c r="B190" s="127">
        <v>43370</v>
      </c>
      <c r="C190" s="136" t="s">
        <v>553</v>
      </c>
      <c r="D190" s="137">
        <v>3920.4</v>
      </c>
      <c r="K190" s="127">
        <v>43370</v>
      </c>
      <c r="M190" s="127">
        <v>43374</v>
      </c>
      <c r="N190" s="127">
        <v>43374</v>
      </c>
      <c r="O190" s="123">
        <f t="shared" si="20"/>
        <v>-4</v>
      </c>
      <c r="P190" s="123">
        <f t="shared" si="21"/>
        <v>0</v>
      </c>
      <c r="Q190" s="123">
        <f t="shared" si="30"/>
        <v>4</v>
      </c>
      <c r="R190" s="123">
        <f t="shared" si="22"/>
        <v>-26</v>
      </c>
      <c r="S190" s="124">
        <v>21</v>
      </c>
      <c r="T190" s="125">
        <f t="shared" si="23"/>
        <v>0</v>
      </c>
      <c r="U190" s="125">
        <f t="shared" si="24"/>
        <v>-101930.40000000001</v>
      </c>
      <c r="V190" s="126">
        <f t="shared" si="25"/>
        <v>121</v>
      </c>
    </row>
    <row r="191" spans="1:22" ht="12.75">
      <c r="A191" s="120" t="s">
        <v>316</v>
      </c>
      <c r="B191" s="121">
        <v>43344</v>
      </c>
      <c r="C191" s="120" t="s">
        <v>554</v>
      </c>
      <c r="D191" s="135">
        <v>217.8</v>
      </c>
      <c r="K191" s="121">
        <v>43344</v>
      </c>
      <c r="M191" s="121">
        <v>43348</v>
      </c>
      <c r="N191" s="121">
        <v>43348</v>
      </c>
      <c r="O191" s="123">
        <f t="shared" si="20"/>
        <v>-4</v>
      </c>
      <c r="P191" s="123">
        <f t="shared" si="21"/>
        <v>0</v>
      </c>
      <c r="Q191" s="123">
        <f t="shared" si="30"/>
        <v>4</v>
      </c>
      <c r="R191" s="123">
        <f t="shared" si="22"/>
        <v>-26</v>
      </c>
      <c r="S191" s="124">
        <v>20</v>
      </c>
      <c r="T191" s="125">
        <f t="shared" si="23"/>
        <v>0</v>
      </c>
      <c r="U191" s="125">
        <f t="shared" si="24"/>
        <v>-5662.8</v>
      </c>
      <c r="V191" s="126">
        <f t="shared" si="25"/>
        <v>120</v>
      </c>
    </row>
    <row r="192" spans="1:22" ht="12.75">
      <c r="A192" s="120" t="s">
        <v>317</v>
      </c>
      <c r="B192" s="121">
        <v>43313</v>
      </c>
      <c r="C192" s="120" t="s">
        <v>555</v>
      </c>
      <c r="D192" s="135">
        <v>217.8</v>
      </c>
      <c r="K192" s="121">
        <v>43313</v>
      </c>
      <c r="M192" s="121">
        <v>43322</v>
      </c>
      <c r="N192" s="121">
        <v>43322</v>
      </c>
      <c r="O192" s="123">
        <f t="shared" si="20"/>
        <v>-9</v>
      </c>
      <c r="P192" s="123">
        <f t="shared" si="21"/>
        <v>0</v>
      </c>
      <c r="Q192" s="123">
        <f t="shared" si="30"/>
        <v>9</v>
      </c>
      <c r="R192" s="123">
        <f t="shared" si="22"/>
        <v>-21</v>
      </c>
      <c r="S192" s="124">
        <v>20</v>
      </c>
      <c r="T192" s="125">
        <f t="shared" si="23"/>
        <v>0</v>
      </c>
      <c r="U192" s="125">
        <f t="shared" si="24"/>
        <v>-4573.8</v>
      </c>
      <c r="V192" s="126">
        <f t="shared" si="25"/>
        <v>120</v>
      </c>
    </row>
    <row r="193" spans="1:22" ht="12.75">
      <c r="A193" s="136" t="s">
        <v>320</v>
      </c>
      <c r="B193" s="127">
        <v>43373</v>
      </c>
      <c r="C193" s="136" t="s">
        <v>558</v>
      </c>
      <c r="D193" s="137">
        <v>1668.35</v>
      </c>
      <c r="K193" s="127">
        <v>43373</v>
      </c>
      <c r="M193" s="127">
        <v>43375</v>
      </c>
      <c r="N193" s="127">
        <v>43375</v>
      </c>
      <c r="O193" s="123">
        <f t="shared" si="20"/>
        <v>-2</v>
      </c>
      <c r="P193" s="123">
        <f t="shared" si="21"/>
        <v>0</v>
      </c>
      <c r="Q193" s="123">
        <f t="shared" si="30"/>
        <v>2</v>
      </c>
      <c r="R193" s="123">
        <f t="shared" si="22"/>
        <v>-28</v>
      </c>
      <c r="S193" s="124">
        <v>29</v>
      </c>
      <c r="T193" s="125">
        <f t="shared" si="23"/>
        <v>0</v>
      </c>
      <c r="U193" s="125">
        <f t="shared" si="24"/>
        <v>-46713.799999999996</v>
      </c>
      <c r="V193" s="126">
        <f t="shared" si="25"/>
        <v>129</v>
      </c>
    </row>
    <row r="194" spans="1:22" ht="12.75">
      <c r="A194" s="120" t="s">
        <v>322</v>
      </c>
      <c r="B194" s="121">
        <v>43343</v>
      </c>
      <c r="C194" s="120" t="s">
        <v>560</v>
      </c>
      <c r="D194" s="135">
        <v>44.71</v>
      </c>
      <c r="K194" s="121">
        <v>43343</v>
      </c>
      <c r="M194" s="121">
        <v>43347</v>
      </c>
      <c r="N194" s="121">
        <v>43347</v>
      </c>
      <c r="O194" s="123">
        <f t="shared" si="20"/>
        <v>-4</v>
      </c>
      <c r="P194" s="123">
        <f t="shared" si="21"/>
        <v>0</v>
      </c>
      <c r="Q194" s="123">
        <f t="shared" si="30"/>
        <v>4</v>
      </c>
      <c r="R194" s="123">
        <f t="shared" si="22"/>
        <v>-26</v>
      </c>
      <c r="S194" s="124">
        <v>21</v>
      </c>
      <c r="T194" s="125">
        <f t="shared" si="23"/>
        <v>0</v>
      </c>
      <c r="U194" s="125">
        <f t="shared" si="24"/>
        <v>-1162.46</v>
      </c>
      <c r="V194" s="126">
        <f t="shared" si="25"/>
        <v>121</v>
      </c>
    </row>
    <row r="195" spans="1:22" ht="12.75">
      <c r="A195" s="120" t="s">
        <v>323</v>
      </c>
      <c r="B195" s="121">
        <v>43339</v>
      </c>
      <c r="C195" s="120" t="s">
        <v>561</v>
      </c>
      <c r="D195" s="135">
        <v>16.94</v>
      </c>
      <c r="K195" s="121">
        <v>43339</v>
      </c>
      <c r="M195" s="121">
        <v>43341</v>
      </c>
      <c r="N195" s="121">
        <v>43341</v>
      </c>
      <c r="O195" s="123">
        <f t="shared" si="20"/>
        <v>-2</v>
      </c>
      <c r="P195" s="123">
        <f t="shared" si="21"/>
        <v>0</v>
      </c>
      <c r="Q195" s="123">
        <f t="shared" si="30"/>
        <v>2</v>
      </c>
      <c r="R195" s="123">
        <f t="shared" si="22"/>
        <v>-28</v>
      </c>
      <c r="S195" s="124">
        <v>21</v>
      </c>
      <c r="T195" s="125">
        <f t="shared" si="23"/>
        <v>0</v>
      </c>
      <c r="U195" s="125">
        <f t="shared" si="24"/>
        <v>-474.32000000000005</v>
      </c>
      <c r="V195" s="126">
        <f t="shared" si="25"/>
        <v>121</v>
      </c>
    </row>
    <row r="196" spans="1:22" ht="12.75">
      <c r="A196" s="120" t="s">
        <v>324</v>
      </c>
      <c r="B196" s="121">
        <v>43312</v>
      </c>
      <c r="C196" s="120" t="s">
        <v>562</v>
      </c>
      <c r="D196" s="135">
        <v>35.09</v>
      </c>
      <c r="K196" s="121">
        <v>43312</v>
      </c>
      <c r="M196" s="121">
        <v>43315</v>
      </c>
      <c r="N196" s="121">
        <v>43315</v>
      </c>
      <c r="O196" s="123">
        <f t="shared" si="20"/>
        <v>-3</v>
      </c>
      <c r="P196" s="123">
        <f t="shared" si="21"/>
        <v>0</v>
      </c>
      <c r="Q196" s="123">
        <f t="shared" si="30"/>
        <v>3</v>
      </c>
      <c r="R196" s="123">
        <f t="shared" si="22"/>
        <v>-27</v>
      </c>
      <c r="S196" s="124">
        <v>21</v>
      </c>
      <c r="T196" s="125">
        <f t="shared" si="23"/>
        <v>0</v>
      </c>
      <c r="U196" s="125">
        <f t="shared" si="24"/>
        <v>-947.4300000000001</v>
      </c>
      <c r="V196" s="126">
        <f t="shared" si="25"/>
        <v>121</v>
      </c>
    </row>
    <row r="197" spans="1:22" ht="12.75">
      <c r="A197" s="136" t="s">
        <v>331</v>
      </c>
      <c r="B197" s="127">
        <v>43343</v>
      </c>
      <c r="C197" s="136" t="s">
        <v>449</v>
      </c>
      <c r="D197" s="137">
        <v>118.46</v>
      </c>
      <c r="K197" s="127">
        <v>43343</v>
      </c>
      <c r="M197" s="127">
        <v>43356</v>
      </c>
      <c r="N197" s="127">
        <v>43356</v>
      </c>
      <c r="O197" s="123">
        <f t="shared" si="20"/>
        <v>-13</v>
      </c>
      <c r="P197" s="123">
        <f t="shared" si="21"/>
        <v>0</v>
      </c>
      <c r="Q197" s="123">
        <f t="shared" si="30"/>
        <v>13</v>
      </c>
      <c r="R197" s="123">
        <f t="shared" si="22"/>
        <v>-17</v>
      </c>
      <c r="S197" s="124">
        <v>29</v>
      </c>
      <c r="T197" s="125">
        <f t="shared" si="23"/>
        <v>0</v>
      </c>
      <c r="U197" s="125">
        <f t="shared" si="24"/>
        <v>-2013.82</v>
      </c>
      <c r="V197" s="126">
        <f t="shared" si="25"/>
        <v>129</v>
      </c>
    </row>
    <row r="198" spans="1:22" ht="12.75">
      <c r="A198" s="120" t="s">
        <v>332</v>
      </c>
      <c r="B198" s="121">
        <v>43304</v>
      </c>
      <c r="C198" s="120" t="s">
        <v>569</v>
      </c>
      <c r="D198" s="135">
        <v>75.07</v>
      </c>
      <c r="K198" s="121">
        <v>43304</v>
      </c>
      <c r="M198" s="121">
        <v>43308</v>
      </c>
      <c r="N198" s="121">
        <v>43308</v>
      </c>
      <c r="O198" s="123">
        <f t="shared" si="20"/>
        <v>-4</v>
      </c>
      <c r="P198" s="123">
        <f t="shared" si="21"/>
        <v>0</v>
      </c>
      <c r="Q198" s="123">
        <f t="shared" si="30"/>
        <v>4</v>
      </c>
      <c r="R198" s="123">
        <f t="shared" si="22"/>
        <v>-26</v>
      </c>
      <c r="S198" s="124">
        <v>29</v>
      </c>
      <c r="T198" s="125">
        <f t="shared" si="23"/>
        <v>0</v>
      </c>
      <c r="U198" s="125">
        <f t="shared" si="24"/>
        <v>-1951.8199999999997</v>
      </c>
      <c r="V198" s="126">
        <f t="shared" si="25"/>
        <v>129</v>
      </c>
    </row>
    <row r="199" spans="1:22" ht="12.75">
      <c r="A199" s="120" t="s">
        <v>333</v>
      </c>
      <c r="B199" s="121">
        <v>43304</v>
      </c>
      <c r="C199" s="120" t="s">
        <v>570</v>
      </c>
      <c r="D199" s="135">
        <v>72.65</v>
      </c>
      <c r="K199" s="121">
        <v>43304</v>
      </c>
      <c r="M199" s="121">
        <v>43308</v>
      </c>
      <c r="N199" s="121">
        <v>43308</v>
      </c>
      <c r="O199" s="123">
        <f aca="true" t="shared" si="31" ref="O199:O218">+K199-M199</f>
        <v>-4</v>
      </c>
      <c r="P199" s="123">
        <f aca="true" t="shared" si="32" ref="P199:P218">+N199-M199</f>
        <v>0</v>
      </c>
      <c r="Q199" s="123">
        <f t="shared" si="30"/>
        <v>4</v>
      </c>
      <c r="R199" s="123">
        <f aca="true" t="shared" si="33" ref="R199:R218">+Q199-30</f>
        <v>-26</v>
      </c>
      <c r="S199" s="124">
        <v>29</v>
      </c>
      <c r="T199" s="125">
        <f aca="true" t="shared" si="34" ref="T199:T218">+P199*D199</f>
        <v>0</v>
      </c>
      <c r="U199" s="125">
        <f aca="true" t="shared" si="35" ref="U199:U218">+R199*D199</f>
        <v>-1888.9</v>
      </c>
      <c r="V199" s="126">
        <f aca="true" t="shared" si="36" ref="V199:V218">IF(P199&gt;30,200+S199,100+S199)</f>
        <v>129</v>
      </c>
    </row>
    <row r="200" spans="1:22" ht="12.75">
      <c r="A200" s="120" t="s">
        <v>334</v>
      </c>
      <c r="B200" s="121">
        <v>43304</v>
      </c>
      <c r="C200" s="120" t="s">
        <v>571</v>
      </c>
      <c r="D200" s="135">
        <v>1076.91</v>
      </c>
      <c r="K200" s="121">
        <v>43304</v>
      </c>
      <c r="M200" s="121">
        <v>43308</v>
      </c>
      <c r="N200" s="121">
        <v>43308</v>
      </c>
      <c r="O200" s="123">
        <f t="shared" si="31"/>
        <v>-4</v>
      </c>
      <c r="P200" s="123">
        <f t="shared" si="32"/>
        <v>0</v>
      </c>
      <c r="Q200" s="123">
        <f t="shared" si="30"/>
        <v>4</v>
      </c>
      <c r="R200" s="123">
        <f t="shared" si="33"/>
        <v>-26</v>
      </c>
      <c r="S200" s="124">
        <v>29</v>
      </c>
      <c r="T200" s="125">
        <f t="shared" si="34"/>
        <v>0</v>
      </c>
      <c r="U200" s="125">
        <f t="shared" si="35"/>
        <v>-27999.660000000003</v>
      </c>
      <c r="V200" s="126">
        <f t="shared" si="36"/>
        <v>129</v>
      </c>
    </row>
    <row r="201" spans="1:22" ht="12.75">
      <c r="A201" s="120" t="s">
        <v>335</v>
      </c>
      <c r="B201" s="121">
        <v>43335</v>
      </c>
      <c r="C201" s="120" t="s">
        <v>572</v>
      </c>
      <c r="D201" s="135">
        <v>75.07</v>
      </c>
      <c r="K201" s="121">
        <v>43335</v>
      </c>
      <c r="M201" s="121">
        <v>43342</v>
      </c>
      <c r="N201" s="121">
        <v>43342</v>
      </c>
      <c r="O201" s="123">
        <f t="shared" si="31"/>
        <v>-7</v>
      </c>
      <c r="P201" s="123">
        <f t="shared" si="32"/>
        <v>0</v>
      </c>
      <c r="Q201" s="123">
        <f t="shared" si="30"/>
        <v>7</v>
      </c>
      <c r="R201" s="123">
        <f t="shared" si="33"/>
        <v>-23</v>
      </c>
      <c r="S201" s="124">
        <v>29</v>
      </c>
      <c r="T201" s="125">
        <f t="shared" si="34"/>
        <v>0</v>
      </c>
      <c r="U201" s="125">
        <f t="shared" si="35"/>
        <v>-1726.61</v>
      </c>
      <c r="V201" s="126">
        <f t="shared" si="36"/>
        <v>129</v>
      </c>
    </row>
    <row r="202" spans="1:22" ht="12.75">
      <c r="A202" s="120" t="s">
        <v>336</v>
      </c>
      <c r="B202" s="121">
        <v>43335</v>
      </c>
      <c r="C202" s="120" t="s">
        <v>573</v>
      </c>
      <c r="D202" s="135">
        <v>1017.84</v>
      </c>
      <c r="K202" s="121">
        <v>43335</v>
      </c>
      <c r="M202" s="121">
        <v>43342</v>
      </c>
      <c r="N202" s="121">
        <v>43342</v>
      </c>
      <c r="O202" s="123">
        <f t="shared" si="31"/>
        <v>-7</v>
      </c>
      <c r="P202" s="123">
        <f t="shared" si="32"/>
        <v>0</v>
      </c>
      <c r="Q202" s="123">
        <f t="shared" si="30"/>
        <v>7</v>
      </c>
      <c r="R202" s="123">
        <f t="shared" si="33"/>
        <v>-23</v>
      </c>
      <c r="S202" s="124">
        <v>29</v>
      </c>
      <c r="T202" s="125">
        <f t="shared" si="34"/>
        <v>0</v>
      </c>
      <c r="U202" s="125">
        <f t="shared" si="35"/>
        <v>-23410.32</v>
      </c>
      <c r="V202" s="126">
        <f t="shared" si="36"/>
        <v>129</v>
      </c>
    </row>
    <row r="203" spans="1:22" ht="12.75">
      <c r="A203" s="120" t="s">
        <v>337</v>
      </c>
      <c r="B203" s="121">
        <v>43366</v>
      </c>
      <c r="C203" s="120" t="s">
        <v>574</v>
      </c>
      <c r="D203" s="135">
        <v>75.07</v>
      </c>
      <c r="K203" s="121">
        <v>43366</v>
      </c>
      <c r="M203" s="121">
        <v>43370</v>
      </c>
      <c r="N203" s="121">
        <v>43370</v>
      </c>
      <c r="O203" s="123">
        <f t="shared" si="31"/>
        <v>-4</v>
      </c>
      <c r="P203" s="123">
        <f t="shared" si="32"/>
        <v>0</v>
      </c>
      <c r="Q203" s="123">
        <f t="shared" si="30"/>
        <v>4</v>
      </c>
      <c r="R203" s="123">
        <f t="shared" si="33"/>
        <v>-26</v>
      </c>
      <c r="S203" s="124">
        <v>29</v>
      </c>
      <c r="T203" s="125">
        <f t="shared" si="34"/>
        <v>0</v>
      </c>
      <c r="U203" s="125">
        <f t="shared" si="35"/>
        <v>-1951.8199999999997</v>
      </c>
      <c r="V203" s="126">
        <f t="shared" si="36"/>
        <v>129</v>
      </c>
    </row>
    <row r="204" spans="1:22" ht="12.75">
      <c r="A204" s="120" t="s">
        <v>338</v>
      </c>
      <c r="B204" s="121">
        <v>43345</v>
      </c>
      <c r="C204" s="120" t="s">
        <v>575</v>
      </c>
      <c r="D204" s="135">
        <v>72.65</v>
      </c>
      <c r="K204" s="121">
        <v>43366</v>
      </c>
      <c r="M204" s="121">
        <v>43370</v>
      </c>
      <c r="N204" s="121">
        <v>43370</v>
      </c>
      <c r="O204" s="123">
        <f t="shared" si="31"/>
        <v>-4</v>
      </c>
      <c r="P204" s="123">
        <f t="shared" si="32"/>
        <v>0</v>
      </c>
      <c r="Q204" s="123">
        <f t="shared" si="30"/>
        <v>4</v>
      </c>
      <c r="R204" s="123">
        <f t="shared" si="33"/>
        <v>-26</v>
      </c>
      <c r="S204" s="124">
        <v>29</v>
      </c>
      <c r="T204" s="125">
        <f t="shared" si="34"/>
        <v>0</v>
      </c>
      <c r="U204" s="125">
        <f t="shared" si="35"/>
        <v>-1888.9</v>
      </c>
      <c r="V204" s="126">
        <f t="shared" si="36"/>
        <v>129</v>
      </c>
    </row>
    <row r="205" spans="1:22" ht="12.75">
      <c r="A205" s="120" t="s">
        <v>339</v>
      </c>
      <c r="B205" s="121">
        <v>43366</v>
      </c>
      <c r="C205" s="120" t="s">
        <v>576</v>
      </c>
      <c r="D205" s="135">
        <v>1045.06</v>
      </c>
      <c r="K205" s="121">
        <v>43366</v>
      </c>
      <c r="M205" s="121">
        <v>43370</v>
      </c>
      <c r="N205" s="121">
        <v>43370</v>
      </c>
      <c r="O205" s="123">
        <f t="shared" si="31"/>
        <v>-4</v>
      </c>
      <c r="P205" s="123">
        <f t="shared" si="32"/>
        <v>0</v>
      </c>
      <c r="Q205" s="123">
        <f t="shared" si="30"/>
        <v>4</v>
      </c>
      <c r="R205" s="123">
        <f t="shared" si="33"/>
        <v>-26</v>
      </c>
      <c r="S205" s="124">
        <v>29</v>
      </c>
      <c r="T205" s="125">
        <f t="shared" si="34"/>
        <v>0</v>
      </c>
      <c r="U205" s="125">
        <f t="shared" si="35"/>
        <v>-27171.559999999998</v>
      </c>
      <c r="V205" s="126">
        <f t="shared" si="36"/>
        <v>129</v>
      </c>
    </row>
    <row r="206" spans="1:22" ht="12.75">
      <c r="A206" s="120" t="s">
        <v>340</v>
      </c>
      <c r="B206" s="121">
        <v>43304</v>
      </c>
      <c r="C206" s="120" t="s">
        <v>577</v>
      </c>
      <c r="D206" s="135">
        <v>400.3</v>
      </c>
      <c r="K206" s="121">
        <v>43304</v>
      </c>
      <c r="M206" s="121">
        <v>43308</v>
      </c>
      <c r="N206" s="121">
        <v>43308</v>
      </c>
      <c r="O206" s="123">
        <f t="shared" si="31"/>
        <v>-4</v>
      </c>
      <c r="P206" s="123">
        <f t="shared" si="32"/>
        <v>0</v>
      </c>
      <c r="Q206" s="123">
        <f t="shared" si="30"/>
        <v>4</v>
      </c>
      <c r="R206" s="123">
        <f t="shared" si="33"/>
        <v>-26</v>
      </c>
      <c r="S206" s="124">
        <v>29</v>
      </c>
      <c r="T206" s="125">
        <f t="shared" si="34"/>
        <v>0</v>
      </c>
      <c r="U206" s="125">
        <f t="shared" si="35"/>
        <v>-10407.800000000001</v>
      </c>
      <c r="V206" s="126">
        <f t="shared" si="36"/>
        <v>129</v>
      </c>
    </row>
    <row r="207" spans="1:22" ht="12.75">
      <c r="A207" s="120" t="s">
        <v>341</v>
      </c>
      <c r="B207" s="121">
        <v>43335</v>
      </c>
      <c r="C207" s="120" t="s">
        <v>578</v>
      </c>
      <c r="D207" s="135">
        <v>360.55</v>
      </c>
      <c r="K207" s="121">
        <v>43335</v>
      </c>
      <c r="M207" s="121">
        <v>43342</v>
      </c>
      <c r="N207" s="121">
        <v>43342</v>
      </c>
      <c r="O207" s="123">
        <f t="shared" si="31"/>
        <v>-7</v>
      </c>
      <c r="P207" s="123">
        <f t="shared" si="32"/>
        <v>0</v>
      </c>
      <c r="Q207" s="123">
        <f t="shared" si="30"/>
        <v>7</v>
      </c>
      <c r="R207" s="123">
        <f t="shared" si="33"/>
        <v>-23</v>
      </c>
      <c r="S207" s="124">
        <v>29</v>
      </c>
      <c r="T207" s="125">
        <f t="shared" si="34"/>
        <v>0</v>
      </c>
      <c r="U207" s="125">
        <f t="shared" si="35"/>
        <v>-8292.65</v>
      </c>
      <c r="V207" s="126">
        <f t="shared" si="36"/>
        <v>129</v>
      </c>
    </row>
    <row r="208" spans="1:22" ht="12.75">
      <c r="A208" s="120" t="s">
        <v>342</v>
      </c>
      <c r="B208" s="121">
        <v>43335</v>
      </c>
      <c r="C208" s="120" t="s">
        <v>579</v>
      </c>
      <c r="D208" s="135">
        <v>333.27</v>
      </c>
      <c r="K208" s="121">
        <v>43335</v>
      </c>
      <c r="M208" s="121">
        <v>43342</v>
      </c>
      <c r="N208" s="121">
        <v>43342</v>
      </c>
      <c r="O208" s="123">
        <f t="shared" si="31"/>
        <v>-7</v>
      </c>
      <c r="P208" s="123">
        <f t="shared" si="32"/>
        <v>0</v>
      </c>
      <c r="Q208" s="123">
        <f t="shared" si="30"/>
        <v>7</v>
      </c>
      <c r="R208" s="123">
        <f t="shared" si="33"/>
        <v>-23</v>
      </c>
      <c r="S208" s="124">
        <v>29</v>
      </c>
      <c r="T208" s="125">
        <f t="shared" si="34"/>
        <v>0</v>
      </c>
      <c r="U208" s="125">
        <f t="shared" si="35"/>
        <v>-7665.209999999999</v>
      </c>
      <c r="V208" s="126">
        <f t="shared" si="36"/>
        <v>129</v>
      </c>
    </row>
    <row r="209" spans="1:22" ht="12.75">
      <c r="A209" s="120" t="s">
        <v>343</v>
      </c>
      <c r="B209" s="121">
        <v>43366</v>
      </c>
      <c r="C209" s="120" t="s">
        <v>580</v>
      </c>
      <c r="D209" s="135">
        <v>333.27</v>
      </c>
      <c r="K209" s="121">
        <v>43366</v>
      </c>
      <c r="M209" s="121">
        <v>43370</v>
      </c>
      <c r="N209" s="121">
        <v>43370</v>
      </c>
      <c r="O209" s="123">
        <f t="shared" si="31"/>
        <v>-4</v>
      </c>
      <c r="P209" s="123">
        <f t="shared" si="32"/>
        <v>0</v>
      </c>
      <c r="Q209" s="123">
        <f t="shared" si="30"/>
        <v>4</v>
      </c>
      <c r="R209" s="123">
        <f t="shared" si="33"/>
        <v>-26</v>
      </c>
      <c r="S209" s="124">
        <v>29</v>
      </c>
      <c r="T209" s="125">
        <f t="shared" si="34"/>
        <v>0</v>
      </c>
      <c r="U209" s="125">
        <f t="shared" si="35"/>
        <v>-8665.02</v>
      </c>
      <c r="V209" s="126">
        <f t="shared" si="36"/>
        <v>129</v>
      </c>
    </row>
    <row r="210" spans="1:22" ht="12.75">
      <c r="A210" s="120" t="s">
        <v>344</v>
      </c>
      <c r="B210" s="121">
        <v>43366</v>
      </c>
      <c r="C210" s="120" t="s">
        <v>581</v>
      </c>
      <c r="D210" s="135">
        <v>369.77</v>
      </c>
      <c r="K210" s="121">
        <v>43366</v>
      </c>
      <c r="M210" s="121">
        <v>43370</v>
      </c>
      <c r="N210" s="121">
        <v>43370</v>
      </c>
      <c r="O210" s="123">
        <f t="shared" si="31"/>
        <v>-4</v>
      </c>
      <c r="P210" s="123">
        <f t="shared" si="32"/>
        <v>0</v>
      </c>
      <c r="Q210" s="123">
        <f t="shared" si="30"/>
        <v>4</v>
      </c>
      <c r="R210" s="123">
        <f t="shared" si="33"/>
        <v>-26</v>
      </c>
      <c r="S210" s="124">
        <v>29</v>
      </c>
      <c r="T210" s="125">
        <f t="shared" si="34"/>
        <v>0</v>
      </c>
      <c r="U210" s="125">
        <f t="shared" si="35"/>
        <v>-9614.02</v>
      </c>
      <c r="V210" s="126">
        <f t="shared" si="36"/>
        <v>129</v>
      </c>
    </row>
    <row r="211" spans="1:22" ht="12.75">
      <c r="A211" s="120" t="s">
        <v>345</v>
      </c>
      <c r="B211" s="121">
        <v>43304</v>
      </c>
      <c r="C211" s="120" t="s">
        <v>582</v>
      </c>
      <c r="D211" s="135">
        <v>333.27</v>
      </c>
      <c r="K211" s="121">
        <v>43304</v>
      </c>
      <c r="M211" s="121">
        <v>43308</v>
      </c>
      <c r="N211" s="121">
        <v>43308</v>
      </c>
      <c r="O211" s="123">
        <f t="shared" si="31"/>
        <v>-4</v>
      </c>
      <c r="P211" s="123">
        <f t="shared" si="32"/>
        <v>0</v>
      </c>
      <c r="Q211" s="123">
        <f t="shared" si="30"/>
        <v>4</v>
      </c>
      <c r="R211" s="123">
        <f t="shared" si="33"/>
        <v>-26</v>
      </c>
      <c r="S211" s="124">
        <v>29</v>
      </c>
      <c r="T211" s="125">
        <f t="shared" si="34"/>
        <v>0</v>
      </c>
      <c r="U211" s="125">
        <f t="shared" si="35"/>
        <v>-8665.02</v>
      </c>
      <c r="V211" s="126">
        <f t="shared" si="36"/>
        <v>129</v>
      </c>
    </row>
    <row r="212" spans="1:22" ht="12.75">
      <c r="A212" s="120" t="s">
        <v>346</v>
      </c>
      <c r="B212" s="121">
        <v>43358</v>
      </c>
      <c r="C212" s="120" t="s">
        <v>583</v>
      </c>
      <c r="D212" s="135">
        <v>47.67</v>
      </c>
      <c r="K212" s="121">
        <v>43358</v>
      </c>
      <c r="M212" s="121">
        <v>43361</v>
      </c>
      <c r="N212" s="121">
        <v>43361</v>
      </c>
      <c r="O212" s="123">
        <f t="shared" si="31"/>
        <v>-3</v>
      </c>
      <c r="P212" s="123">
        <f t="shared" si="32"/>
        <v>0</v>
      </c>
      <c r="Q212" s="123">
        <f t="shared" si="30"/>
        <v>3</v>
      </c>
      <c r="R212" s="123">
        <f t="shared" si="33"/>
        <v>-27</v>
      </c>
      <c r="S212" s="124">
        <v>21</v>
      </c>
      <c r="T212" s="125">
        <f t="shared" si="34"/>
        <v>0</v>
      </c>
      <c r="U212" s="125">
        <f t="shared" si="35"/>
        <v>-1287.0900000000001</v>
      </c>
      <c r="V212" s="126">
        <f t="shared" si="36"/>
        <v>121</v>
      </c>
    </row>
    <row r="213" spans="1:22" ht="12.75">
      <c r="A213" s="120" t="s">
        <v>347</v>
      </c>
      <c r="B213" s="121">
        <v>43296</v>
      </c>
      <c r="C213" s="120" t="s">
        <v>584</v>
      </c>
      <c r="D213" s="135">
        <v>47.67</v>
      </c>
      <c r="K213" s="121">
        <v>43296</v>
      </c>
      <c r="M213" s="121">
        <v>43298</v>
      </c>
      <c r="N213" s="121">
        <v>43298</v>
      </c>
      <c r="O213" s="123">
        <f t="shared" si="31"/>
        <v>-2</v>
      </c>
      <c r="P213" s="123">
        <f t="shared" si="32"/>
        <v>0</v>
      </c>
      <c r="Q213" s="123">
        <f t="shared" si="30"/>
        <v>2</v>
      </c>
      <c r="R213" s="123">
        <f t="shared" si="33"/>
        <v>-28</v>
      </c>
      <c r="S213" s="124">
        <v>21</v>
      </c>
      <c r="T213" s="125">
        <f t="shared" si="34"/>
        <v>0</v>
      </c>
      <c r="U213" s="125">
        <f t="shared" si="35"/>
        <v>-1334.76</v>
      </c>
      <c r="V213" s="126">
        <f t="shared" si="36"/>
        <v>121</v>
      </c>
    </row>
    <row r="214" spans="1:22" ht="12.75">
      <c r="A214" s="120" t="s">
        <v>348</v>
      </c>
      <c r="B214" s="121">
        <v>43327</v>
      </c>
      <c r="C214" s="120" t="s">
        <v>585</v>
      </c>
      <c r="D214" s="135">
        <v>47.67</v>
      </c>
      <c r="K214" s="121">
        <v>43327</v>
      </c>
      <c r="M214" s="121">
        <v>43329</v>
      </c>
      <c r="N214" s="121">
        <v>43329</v>
      </c>
      <c r="O214" s="123">
        <f t="shared" si="31"/>
        <v>-2</v>
      </c>
      <c r="P214" s="123">
        <f t="shared" si="32"/>
        <v>0</v>
      </c>
      <c r="Q214" s="123">
        <f t="shared" si="30"/>
        <v>2</v>
      </c>
      <c r="R214" s="123">
        <f t="shared" si="33"/>
        <v>-28</v>
      </c>
      <c r="S214" s="124">
        <v>21</v>
      </c>
      <c r="T214" s="125">
        <f t="shared" si="34"/>
        <v>0</v>
      </c>
      <c r="U214" s="125">
        <f t="shared" si="35"/>
        <v>-1334.76</v>
      </c>
      <c r="V214" s="126">
        <f t="shared" si="36"/>
        <v>121</v>
      </c>
    </row>
    <row r="215" spans="1:22" ht="12.75">
      <c r="A215" s="136" t="s">
        <v>349</v>
      </c>
      <c r="B215" s="127">
        <v>43282</v>
      </c>
      <c r="C215" s="136" t="s">
        <v>586</v>
      </c>
      <c r="D215" s="137">
        <v>222.04</v>
      </c>
      <c r="K215" s="127">
        <v>43282</v>
      </c>
      <c r="M215" s="127">
        <v>43223</v>
      </c>
      <c r="N215" s="127">
        <v>43223</v>
      </c>
      <c r="O215" s="123">
        <f t="shared" si="31"/>
        <v>59</v>
      </c>
      <c r="P215" s="123">
        <f t="shared" si="32"/>
        <v>0</v>
      </c>
      <c r="Q215" s="123">
        <f t="shared" si="30"/>
        <v>-59</v>
      </c>
      <c r="R215" s="123">
        <f t="shared" si="33"/>
        <v>-89</v>
      </c>
      <c r="S215" s="124">
        <v>29</v>
      </c>
      <c r="T215" s="125">
        <f t="shared" si="34"/>
        <v>0</v>
      </c>
      <c r="U215" s="125">
        <f t="shared" si="35"/>
        <v>-19761.559999999998</v>
      </c>
      <c r="V215" s="126">
        <f t="shared" si="36"/>
        <v>129</v>
      </c>
    </row>
    <row r="216" spans="1:22" ht="12.75">
      <c r="A216" s="120" t="s">
        <v>350</v>
      </c>
      <c r="B216" s="121">
        <v>43373</v>
      </c>
      <c r="C216" s="120" t="s">
        <v>587</v>
      </c>
      <c r="D216" s="135">
        <v>607.97</v>
      </c>
      <c r="K216" s="121">
        <v>43373</v>
      </c>
      <c r="M216" s="121">
        <v>43360</v>
      </c>
      <c r="N216" s="121">
        <v>43360</v>
      </c>
      <c r="O216" s="123">
        <f t="shared" si="31"/>
        <v>13</v>
      </c>
      <c r="P216" s="123">
        <f t="shared" si="32"/>
        <v>0</v>
      </c>
      <c r="Q216" s="123">
        <f t="shared" si="30"/>
        <v>-13</v>
      </c>
      <c r="R216" s="123">
        <f t="shared" si="33"/>
        <v>-43</v>
      </c>
      <c r="S216" s="124">
        <v>29</v>
      </c>
      <c r="T216" s="125">
        <f t="shared" si="34"/>
        <v>0</v>
      </c>
      <c r="U216" s="125">
        <f t="shared" si="35"/>
        <v>-26142.710000000003</v>
      </c>
      <c r="V216" s="126">
        <f t="shared" si="36"/>
        <v>129</v>
      </c>
    </row>
    <row r="217" spans="1:22" ht="12.75">
      <c r="A217" s="136" t="s">
        <v>351</v>
      </c>
      <c r="B217" s="127">
        <v>43343</v>
      </c>
      <c r="C217" s="136" t="s">
        <v>588</v>
      </c>
      <c r="D217" s="137">
        <v>27.15</v>
      </c>
      <c r="K217" s="127">
        <v>43343</v>
      </c>
      <c r="M217" s="127">
        <v>43374</v>
      </c>
      <c r="N217" s="127">
        <v>43374</v>
      </c>
      <c r="O217" s="123">
        <f t="shared" si="31"/>
        <v>-31</v>
      </c>
      <c r="P217" s="123">
        <f t="shared" si="32"/>
        <v>0</v>
      </c>
      <c r="Q217" s="123">
        <f t="shared" si="30"/>
        <v>31</v>
      </c>
      <c r="R217" s="123">
        <f t="shared" si="33"/>
        <v>1</v>
      </c>
      <c r="S217" s="124">
        <v>22</v>
      </c>
      <c r="T217" s="125">
        <f t="shared" si="34"/>
        <v>0</v>
      </c>
      <c r="U217" s="125">
        <f t="shared" si="35"/>
        <v>27.15</v>
      </c>
      <c r="V217" s="126">
        <f t="shared" si="36"/>
        <v>122</v>
      </c>
    </row>
    <row r="218" spans="1:22" ht="12.75">
      <c r="A218" s="136" t="s">
        <v>352</v>
      </c>
      <c r="B218" s="127">
        <v>43373</v>
      </c>
      <c r="C218" s="136" t="s">
        <v>589</v>
      </c>
      <c r="D218" s="137">
        <v>2265.05</v>
      </c>
      <c r="K218" s="127">
        <v>43373</v>
      </c>
      <c r="M218" s="127">
        <v>43393</v>
      </c>
      <c r="N218" s="127">
        <v>43393</v>
      </c>
      <c r="O218" s="123">
        <f t="shared" si="31"/>
        <v>-20</v>
      </c>
      <c r="P218" s="123">
        <f t="shared" si="32"/>
        <v>0</v>
      </c>
      <c r="Q218" s="123">
        <f t="shared" si="30"/>
        <v>20</v>
      </c>
      <c r="R218" s="123">
        <f t="shared" si="33"/>
        <v>-10</v>
      </c>
      <c r="S218" s="124">
        <v>29</v>
      </c>
      <c r="T218" s="125">
        <f t="shared" si="34"/>
        <v>0</v>
      </c>
      <c r="U218" s="125">
        <f t="shared" si="35"/>
        <v>-22650.5</v>
      </c>
      <c r="V218" s="126">
        <f t="shared" si="36"/>
        <v>129</v>
      </c>
    </row>
  </sheetData>
  <sheetProtection selectLockedCells="1" selectUnlockedCells="1"/>
  <mergeCells count="1"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11"/>
  <sheetViews>
    <sheetView zoomScalePageLayoutView="0" workbookViewId="0" topLeftCell="C1">
      <pane ySplit="8" topLeftCell="A9" activePane="bottomLeft" state="frozen"/>
      <selection pane="topLeft" activeCell="A1" sqref="A1"/>
      <selection pane="bottomLeft" activeCell="Q3" sqref="Q3"/>
    </sheetView>
  </sheetViews>
  <sheetFormatPr defaultColWidth="9.140625" defaultRowHeight="12.75"/>
  <cols>
    <col min="1" max="1" width="9.140625" style="3" customWidth="1"/>
    <col min="2" max="2" width="9.140625" style="18" customWidth="1"/>
    <col min="3" max="3" width="9.140625" style="3" customWidth="1"/>
    <col min="4" max="4" width="11.140625" style="10" customWidth="1"/>
    <col min="5" max="5" width="7.421875" style="3" bestFit="1" customWidth="1"/>
    <col min="6" max="7" width="9.140625" style="3" customWidth="1"/>
    <col min="8" max="8" width="7.421875" style="3" customWidth="1"/>
    <col min="9" max="9" width="7.00390625" style="3" customWidth="1"/>
    <col min="10" max="10" width="17.00390625" style="3" bestFit="1" customWidth="1"/>
    <col min="11" max="13" width="9.28125" style="18" bestFit="1" customWidth="1"/>
    <col min="14" max="14" width="9.140625" style="18" customWidth="1"/>
    <col min="15" max="16" width="9.28125" style="13" bestFit="1" customWidth="1"/>
    <col min="17" max="17" width="10.00390625" style="13" bestFit="1" customWidth="1"/>
    <col min="18" max="18" width="8.7109375" style="13" bestFit="1" customWidth="1"/>
    <col min="19" max="19" width="8.140625" style="3" customWidth="1"/>
    <col min="20" max="21" width="14.57421875" style="10" bestFit="1" customWidth="1"/>
    <col min="22" max="16384" width="9.140625" style="3" customWidth="1"/>
  </cols>
  <sheetData>
    <row r="1" spans="1:17" ht="11.25">
      <c r="A1" s="5" t="s">
        <v>80</v>
      </c>
      <c r="B1" s="20"/>
      <c r="C1" s="6"/>
      <c r="D1" s="9"/>
      <c r="E1" s="6"/>
      <c r="F1" s="6"/>
      <c r="G1" s="6"/>
      <c r="H1" s="6"/>
      <c r="I1" s="6"/>
      <c r="J1" s="6"/>
      <c r="O1" s="100"/>
      <c r="P1" s="100"/>
      <c r="Q1" s="101"/>
    </row>
    <row r="2" spans="1:17" ht="11.25">
      <c r="A2" s="5"/>
      <c r="B2" s="20"/>
      <c r="C2" s="6"/>
      <c r="D2" s="9"/>
      <c r="E2" s="6"/>
      <c r="F2" s="6"/>
      <c r="G2" s="6"/>
      <c r="H2" s="6"/>
      <c r="I2" s="6"/>
      <c r="J2" s="6"/>
      <c r="K2" s="18" t="s">
        <v>103</v>
      </c>
      <c r="O2" s="100"/>
      <c r="P2" s="100" t="s">
        <v>104</v>
      </c>
      <c r="Q2" s="134">
        <v>43373</v>
      </c>
    </row>
    <row r="3" spans="1:13" ht="11.25">
      <c r="A3" s="5"/>
      <c r="B3" s="20"/>
      <c r="C3" s="6"/>
      <c r="D3" s="9"/>
      <c r="E3" s="6"/>
      <c r="F3" s="6"/>
      <c r="G3" s="6"/>
      <c r="H3" s="6"/>
      <c r="I3" s="6"/>
      <c r="J3" s="6"/>
      <c r="K3" s="18" t="s">
        <v>105</v>
      </c>
      <c r="M3" s="18" t="s">
        <v>101</v>
      </c>
    </row>
    <row r="4" spans="1:13" ht="11.25">
      <c r="A4" s="5"/>
      <c r="B4" s="20"/>
      <c r="C4" s="6"/>
      <c r="D4" s="9"/>
      <c r="E4" s="6"/>
      <c r="F4" s="6"/>
      <c r="G4" s="6"/>
      <c r="H4" s="6"/>
      <c r="I4" s="6"/>
      <c r="J4" s="6"/>
      <c r="M4" s="18" t="s">
        <v>106</v>
      </c>
    </row>
    <row r="5" spans="1:13" ht="11.25">
      <c r="A5" s="5"/>
      <c r="B5" s="20"/>
      <c r="C5" s="6"/>
      <c r="D5" s="9"/>
      <c r="E5" s="6"/>
      <c r="F5" s="6"/>
      <c r="G5" s="6"/>
      <c r="H5" s="6"/>
      <c r="I5" s="6"/>
      <c r="J5" s="6"/>
      <c r="M5" s="18" t="s">
        <v>107</v>
      </c>
    </row>
    <row r="6" spans="1:13" ht="11.25">
      <c r="A6" s="5"/>
      <c r="B6" s="20"/>
      <c r="C6" s="6"/>
      <c r="D6" s="9"/>
      <c r="E6" s="6"/>
      <c r="F6" s="6"/>
      <c r="G6" s="6"/>
      <c r="H6" s="6"/>
      <c r="I6" s="6"/>
      <c r="J6" s="6"/>
      <c r="M6" s="18" t="s">
        <v>108</v>
      </c>
    </row>
    <row r="8" spans="1:22" ht="38.25" customHeight="1">
      <c r="A8" s="7" t="s">
        <v>75</v>
      </c>
      <c r="B8" s="21" t="s">
        <v>70</v>
      </c>
      <c r="C8" s="8" t="s">
        <v>85</v>
      </c>
      <c r="D8" s="11" t="s">
        <v>44</v>
      </c>
      <c r="E8" s="7" t="s">
        <v>84</v>
      </c>
      <c r="F8" s="8" t="s">
        <v>71</v>
      </c>
      <c r="G8" s="8" t="s">
        <v>72</v>
      </c>
      <c r="H8" s="8" t="s">
        <v>82</v>
      </c>
      <c r="I8" s="8" t="s">
        <v>83</v>
      </c>
      <c r="J8" s="8" t="s">
        <v>73</v>
      </c>
      <c r="K8" s="19" t="s">
        <v>74</v>
      </c>
      <c r="L8" s="19" t="s">
        <v>76</v>
      </c>
      <c r="M8" s="19" t="s">
        <v>91</v>
      </c>
      <c r="N8" s="19" t="s">
        <v>92</v>
      </c>
      <c r="O8" s="14" t="s">
        <v>77</v>
      </c>
      <c r="P8" s="15" t="s">
        <v>86</v>
      </c>
      <c r="Q8" s="16" t="s">
        <v>87</v>
      </c>
      <c r="R8" s="17" t="s">
        <v>50</v>
      </c>
      <c r="S8" s="3" t="s">
        <v>93</v>
      </c>
      <c r="T8" s="10" t="s">
        <v>94</v>
      </c>
      <c r="U8" s="10" t="s">
        <v>95</v>
      </c>
      <c r="V8" s="3" t="s">
        <v>96</v>
      </c>
    </row>
    <row r="9" spans="3:5" ht="11.25">
      <c r="C9" s="2"/>
      <c r="D9" s="12"/>
      <c r="E9" s="4"/>
    </row>
    <row r="10" ht="11.25">
      <c r="D10" s="12"/>
    </row>
    <row r="11" ht="11.25">
      <c r="D11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1:Y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16.7109375" style="3" customWidth="1"/>
    <col min="2" max="2" width="9.8515625" style="18" customWidth="1"/>
    <col min="3" max="3" width="9.140625" style="3" customWidth="1"/>
    <col min="4" max="4" width="11.140625" style="10" customWidth="1"/>
    <col min="5" max="5" width="7.421875" style="3" bestFit="1" customWidth="1"/>
    <col min="6" max="7" width="9.140625" style="3" customWidth="1"/>
    <col min="8" max="8" width="7.421875" style="3" customWidth="1"/>
    <col min="9" max="9" width="7.00390625" style="3" customWidth="1"/>
    <col min="10" max="10" width="17.00390625" style="3" bestFit="1" customWidth="1"/>
    <col min="11" max="11" width="11.140625" style="18" customWidth="1"/>
    <col min="12" max="12" width="9.140625" style="18" customWidth="1"/>
    <col min="13" max="13" width="9.8515625" style="18" customWidth="1"/>
    <col min="14" max="14" width="10.140625" style="18" customWidth="1"/>
    <col min="15" max="15" width="9.140625" style="13" customWidth="1"/>
    <col min="16" max="16" width="9.8515625" style="13" bestFit="1" customWidth="1"/>
    <col min="17" max="17" width="9.8515625" style="3" bestFit="1" customWidth="1"/>
    <col min="18" max="19" width="15.57421875" style="10" bestFit="1" customWidth="1"/>
    <col min="20" max="16384" width="9.140625" style="3" customWidth="1"/>
  </cols>
  <sheetData>
    <row r="1" spans="1:18" ht="11.25">
      <c r="A1" s="5" t="s">
        <v>81</v>
      </c>
      <c r="B1" s="20"/>
      <c r="C1" s="6"/>
      <c r="D1" s="9"/>
      <c r="E1" s="6"/>
      <c r="F1" s="6"/>
      <c r="G1" s="6"/>
      <c r="H1" s="3" t="s">
        <v>109</v>
      </c>
      <c r="K1" s="3"/>
      <c r="O1" s="100" t="s">
        <v>104</v>
      </c>
      <c r="P1" s="134">
        <v>43373</v>
      </c>
      <c r="R1" s="3"/>
    </row>
    <row r="2" spans="1:25" ht="12.75">
      <c r="A2" s="136" t="s">
        <v>268</v>
      </c>
      <c r="B2" s="127">
        <v>43371</v>
      </c>
      <c r="C2" s="136" t="s">
        <v>507</v>
      </c>
      <c r="D2" s="137">
        <v>875</v>
      </c>
      <c r="K2" s="127">
        <v>43374</v>
      </c>
      <c r="M2" s="127">
        <v>43374</v>
      </c>
      <c r="N2" s="127">
        <v>43374</v>
      </c>
      <c r="O2" s="123">
        <f aca="true" t="shared" si="0" ref="O2:O7">+K2-$P$1</f>
        <v>1</v>
      </c>
      <c r="P2" s="123"/>
      <c r="Q2" s="123"/>
      <c r="R2" s="123"/>
      <c r="S2" s="126"/>
      <c r="T2" s="125"/>
      <c r="U2" s="125"/>
      <c r="V2" s="126"/>
      <c r="Y2" s="10"/>
    </row>
    <row r="3" spans="1:25" ht="12.75">
      <c r="A3" s="136" t="s">
        <v>269</v>
      </c>
      <c r="B3" s="127">
        <v>43373</v>
      </c>
      <c r="C3" s="136" t="s">
        <v>508</v>
      </c>
      <c r="D3" s="137">
        <v>2750</v>
      </c>
      <c r="K3" s="127">
        <v>43375</v>
      </c>
      <c r="M3" s="127">
        <v>43388</v>
      </c>
      <c r="N3" s="127">
        <v>43388</v>
      </c>
      <c r="O3" s="123">
        <f t="shared" si="0"/>
        <v>2</v>
      </c>
      <c r="P3" s="123"/>
      <c r="Q3" s="123"/>
      <c r="R3" s="123"/>
      <c r="S3" s="126"/>
      <c r="T3" s="125"/>
      <c r="U3" s="125"/>
      <c r="V3" s="126"/>
      <c r="Y3" s="10"/>
    </row>
    <row r="4" spans="1:25" ht="12.75">
      <c r="A4" s="136" t="s">
        <v>270</v>
      </c>
      <c r="B4" s="127">
        <v>43373</v>
      </c>
      <c r="C4" s="136" t="s">
        <v>509</v>
      </c>
      <c r="D4" s="137">
        <v>655.42</v>
      </c>
      <c r="K4" s="127">
        <v>43375</v>
      </c>
      <c r="M4" s="127">
        <v>43388</v>
      </c>
      <c r="N4" s="127">
        <v>43388</v>
      </c>
      <c r="O4" s="123">
        <f t="shared" si="0"/>
        <v>2</v>
      </c>
      <c r="P4" s="123"/>
      <c r="Q4" s="123"/>
      <c r="R4" s="123"/>
      <c r="S4" s="126"/>
      <c r="T4" s="125"/>
      <c r="U4" s="125"/>
      <c r="V4" s="126"/>
      <c r="Y4" s="10"/>
    </row>
    <row r="5" spans="1:25" ht="12.75">
      <c r="A5" s="136" t="s">
        <v>271</v>
      </c>
      <c r="B5" s="127">
        <v>43373</v>
      </c>
      <c r="C5" s="136" t="s">
        <v>510</v>
      </c>
      <c r="D5" s="137">
        <v>551.76</v>
      </c>
      <c r="K5" s="127">
        <v>43375</v>
      </c>
      <c r="M5" s="127">
        <v>43388</v>
      </c>
      <c r="N5" s="127">
        <v>43388</v>
      </c>
      <c r="O5" s="123">
        <f t="shared" si="0"/>
        <v>2</v>
      </c>
      <c r="P5" s="123"/>
      <c r="Q5" s="123"/>
      <c r="R5" s="123"/>
      <c r="S5" s="126"/>
      <c r="T5" s="125"/>
      <c r="U5" s="125"/>
      <c r="V5" s="126"/>
      <c r="Y5" s="10"/>
    </row>
    <row r="6" spans="1:25" ht="12.75">
      <c r="A6" s="136" t="s">
        <v>272</v>
      </c>
      <c r="B6" s="127">
        <v>43373</v>
      </c>
      <c r="C6" s="136" t="s">
        <v>511</v>
      </c>
      <c r="D6" s="137">
        <v>1937.21</v>
      </c>
      <c r="K6" s="127">
        <v>43375</v>
      </c>
      <c r="M6" s="127">
        <v>43388</v>
      </c>
      <c r="N6" s="127">
        <v>43388</v>
      </c>
      <c r="O6" s="123">
        <f t="shared" si="0"/>
        <v>2</v>
      </c>
      <c r="P6" s="123"/>
      <c r="Q6" s="123"/>
      <c r="R6" s="123"/>
      <c r="S6" s="126"/>
      <c r="T6" s="125"/>
      <c r="U6" s="125"/>
      <c r="V6" s="126"/>
      <c r="Y6" s="10"/>
    </row>
    <row r="7" spans="1:25" ht="12.75">
      <c r="A7" s="136" t="s">
        <v>273</v>
      </c>
      <c r="B7" s="127">
        <v>43364</v>
      </c>
      <c r="C7" s="136" t="s">
        <v>512</v>
      </c>
      <c r="D7" s="137">
        <v>1000</v>
      </c>
      <c r="K7" s="127">
        <v>43375</v>
      </c>
      <c r="M7" s="127">
        <v>43388</v>
      </c>
      <c r="N7" s="127">
        <v>43388</v>
      </c>
      <c r="O7" s="123">
        <f t="shared" si="0"/>
        <v>2</v>
      </c>
      <c r="P7" s="123"/>
      <c r="Q7" s="123"/>
      <c r="R7" s="123"/>
      <c r="S7" s="126"/>
      <c r="T7" s="125"/>
      <c r="U7" s="125"/>
      <c r="V7" s="126"/>
      <c r="Y7" s="10"/>
    </row>
    <row r="8" spans="1:25" ht="12.75">
      <c r="A8" s="136" t="s">
        <v>274</v>
      </c>
      <c r="B8" s="127">
        <v>43361</v>
      </c>
      <c r="C8" s="136" t="s">
        <v>513</v>
      </c>
      <c r="D8" s="137">
        <v>175.87</v>
      </c>
      <c r="K8" s="127">
        <v>43375</v>
      </c>
      <c r="M8" s="127">
        <v>43388</v>
      </c>
      <c r="N8" s="127">
        <v>43388</v>
      </c>
      <c r="O8" s="123">
        <f>+K8-$P$1</f>
        <v>2</v>
      </c>
      <c r="P8" s="123"/>
      <c r="Q8" s="123"/>
      <c r="R8" s="123"/>
      <c r="S8" s="126"/>
      <c r="T8" s="125"/>
      <c r="U8" s="125"/>
      <c r="V8" s="126"/>
      <c r="Y8" s="10"/>
    </row>
    <row r="9" spans="1:25" ht="12.75">
      <c r="A9" s="136" t="s">
        <v>278</v>
      </c>
      <c r="B9" s="127">
        <v>43353</v>
      </c>
      <c r="C9" s="136" t="s">
        <v>517</v>
      </c>
      <c r="D9" s="137">
        <v>665.5</v>
      </c>
      <c r="K9" s="127">
        <v>43375</v>
      </c>
      <c r="M9" s="127">
        <v>43388</v>
      </c>
      <c r="N9" s="127">
        <v>43388</v>
      </c>
      <c r="O9" s="123">
        <f aca="true" t="shared" si="1" ref="O9:O29">+K9-$P$1</f>
        <v>2</v>
      </c>
      <c r="P9" s="123"/>
      <c r="Q9" s="123"/>
      <c r="R9" s="123"/>
      <c r="S9" s="126"/>
      <c r="T9" s="125"/>
      <c r="U9" s="125"/>
      <c r="V9" s="126"/>
      <c r="Y9" s="10"/>
    </row>
    <row r="10" spans="1:25" ht="12.75">
      <c r="A10" s="136" t="s">
        <v>279</v>
      </c>
      <c r="B10" s="127">
        <v>43337</v>
      </c>
      <c r="C10" s="136" t="s">
        <v>518</v>
      </c>
      <c r="D10" s="137">
        <v>1491.47</v>
      </c>
      <c r="K10" s="127">
        <v>43375</v>
      </c>
      <c r="M10" s="127">
        <v>43388</v>
      </c>
      <c r="N10" s="127">
        <v>43388</v>
      </c>
      <c r="O10" s="123">
        <f t="shared" si="1"/>
        <v>2</v>
      </c>
      <c r="P10" s="123"/>
      <c r="Q10" s="123"/>
      <c r="R10" s="123"/>
      <c r="S10" s="126"/>
      <c r="T10" s="125"/>
      <c r="U10" s="125"/>
      <c r="V10" s="126"/>
      <c r="Y10" s="10"/>
    </row>
    <row r="11" spans="1:25" ht="12.75">
      <c r="A11" s="136" t="s">
        <v>283</v>
      </c>
      <c r="B11" s="127">
        <v>43373</v>
      </c>
      <c r="C11" s="136" t="s">
        <v>522</v>
      </c>
      <c r="D11" s="137">
        <v>1623.82</v>
      </c>
      <c r="K11" s="127">
        <v>43375</v>
      </c>
      <c r="M11" s="127">
        <v>43388</v>
      </c>
      <c r="N11" s="127">
        <v>43388</v>
      </c>
      <c r="O11" s="123">
        <f t="shared" si="1"/>
        <v>2</v>
      </c>
      <c r="P11" s="123"/>
      <c r="Q11" s="123"/>
      <c r="R11" s="123"/>
      <c r="S11" s="126"/>
      <c r="T11" s="125"/>
      <c r="U11" s="125"/>
      <c r="V11" s="126"/>
      <c r="Y11" s="10"/>
    </row>
    <row r="12" spans="1:25" ht="12.75">
      <c r="A12" s="136" t="s">
        <v>284</v>
      </c>
      <c r="B12" s="127">
        <v>43353</v>
      </c>
      <c r="C12" s="136" t="s">
        <v>523</v>
      </c>
      <c r="D12" s="137">
        <v>6468.8</v>
      </c>
      <c r="K12" s="127">
        <v>43375</v>
      </c>
      <c r="M12" s="127">
        <v>43388</v>
      </c>
      <c r="N12" s="127">
        <v>43388</v>
      </c>
      <c r="O12" s="123">
        <f t="shared" si="1"/>
        <v>2</v>
      </c>
      <c r="P12" s="123"/>
      <c r="Q12" s="123"/>
      <c r="R12" s="123"/>
      <c r="S12" s="126"/>
      <c r="T12" s="125"/>
      <c r="U12" s="125"/>
      <c r="V12" s="126"/>
      <c r="Y12" s="10"/>
    </row>
    <row r="13" spans="1:25" ht="12.75">
      <c r="A13" s="136" t="s">
        <v>297</v>
      </c>
      <c r="B13" s="127">
        <v>43373</v>
      </c>
      <c r="C13" s="136" t="s">
        <v>536</v>
      </c>
      <c r="D13" s="137">
        <v>33.08</v>
      </c>
      <c r="K13" s="127">
        <v>43377</v>
      </c>
      <c r="M13" s="127">
        <v>43398</v>
      </c>
      <c r="N13" s="127">
        <v>43398</v>
      </c>
      <c r="O13" s="123">
        <f t="shared" si="1"/>
        <v>4</v>
      </c>
      <c r="P13" s="123"/>
      <c r="Q13" s="123"/>
      <c r="R13" s="123"/>
      <c r="S13" s="126"/>
      <c r="T13" s="125"/>
      <c r="U13" s="125"/>
      <c r="V13" s="126"/>
      <c r="Y13" s="10"/>
    </row>
    <row r="14" spans="1:25" ht="12.75">
      <c r="A14" s="136" t="s">
        <v>298</v>
      </c>
      <c r="B14" s="127">
        <v>43368</v>
      </c>
      <c r="C14" s="136" t="s">
        <v>537</v>
      </c>
      <c r="D14" s="137">
        <v>544.5</v>
      </c>
      <c r="K14" s="127">
        <v>43377</v>
      </c>
      <c r="M14" s="127">
        <v>43388</v>
      </c>
      <c r="N14" s="127">
        <v>43388</v>
      </c>
      <c r="O14" s="123">
        <f t="shared" si="1"/>
        <v>4</v>
      </c>
      <c r="P14" s="123"/>
      <c r="Q14" s="123"/>
      <c r="R14" s="123"/>
      <c r="S14" s="126"/>
      <c r="T14" s="125"/>
      <c r="U14" s="125"/>
      <c r="V14" s="126"/>
      <c r="Y14" s="10"/>
    </row>
    <row r="15" spans="1:25" ht="12.75">
      <c r="A15" s="136" t="s">
        <v>300</v>
      </c>
      <c r="B15" s="127">
        <v>43368</v>
      </c>
      <c r="C15" s="136" t="s">
        <v>539</v>
      </c>
      <c r="D15" s="137">
        <v>5905.44</v>
      </c>
      <c r="K15" s="127">
        <v>43378</v>
      </c>
      <c r="M15" s="127">
        <v>43398</v>
      </c>
      <c r="N15" s="127">
        <v>43398</v>
      </c>
      <c r="O15" s="123">
        <f t="shared" si="1"/>
        <v>5</v>
      </c>
      <c r="P15" s="123"/>
      <c r="Q15" s="123"/>
      <c r="R15" s="123"/>
      <c r="S15" s="124"/>
      <c r="T15" s="125"/>
      <c r="U15" s="125"/>
      <c r="V15" s="126"/>
      <c r="Y15" s="10"/>
    </row>
    <row r="16" spans="1:25" ht="12.75">
      <c r="A16" s="136" t="s">
        <v>301</v>
      </c>
      <c r="B16" s="127">
        <v>43373</v>
      </c>
      <c r="C16" s="136" t="s">
        <v>540</v>
      </c>
      <c r="D16" s="137">
        <v>605</v>
      </c>
      <c r="K16" s="127">
        <v>43378</v>
      </c>
      <c r="M16" s="127">
        <v>43388</v>
      </c>
      <c r="N16" s="127">
        <v>43388</v>
      </c>
      <c r="O16" s="123">
        <f t="shared" si="1"/>
        <v>5</v>
      </c>
      <c r="P16" s="123"/>
      <c r="Q16" s="123"/>
      <c r="R16" s="123"/>
      <c r="S16" s="124"/>
      <c r="T16" s="125"/>
      <c r="U16" s="125"/>
      <c r="V16" s="126"/>
      <c r="Y16" s="10"/>
    </row>
    <row r="17" spans="1:25" ht="12.75">
      <c r="A17" s="136" t="s">
        <v>305</v>
      </c>
      <c r="B17" s="127">
        <v>43373</v>
      </c>
      <c r="C17" s="136" t="s">
        <v>544</v>
      </c>
      <c r="D17" s="137">
        <v>1598.79</v>
      </c>
      <c r="K17" s="127">
        <v>43378</v>
      </c>
      <c r="M17" s="127">
        <v>43388</v>
      </c>
      <c r="N17" s="127">
        <v>43388</v>
      </c>
      <c r="O17" s="123">
        <f t="shared" si="1"/>
        <v>5</v>
      </c>
      <c r="P17" s="123"/>
      <c r="Q17" s="123"/>
      <c r="R17" s="123"/>
      <c r="S17" s="124"/>
      <c r="T17" s="125"/>
      <c r="U17" s="125"/>
      <c r="V17" s="126"/>
      <c r="Y17" s="10"/>
    </row>
    <row r="18" spans="1:25" ht="12.75">
      <c r="A18" s="136" t="s">
        <v>307</v>
      </c>
      <c r="B18" s="127">
        <v>43368</v>
      </c>
      <c r="C18" s="136" t="s">
        <v>546</v>
      </c>
      <c r="D18" s="137">
        <v>1815</v>
      </c>
      <c r="K18" s="127">
        <v>43378</v>
      </c>
      <c r="M18" s="127">
        <v>43388</v>
      </c>
      <c r="N18" s="127">
        <v>43388</v>
      </c>
      <c r="O18" s="123">
        <f t="shared" si="1"/>
        <v>5</v>
      </c>
      <c r="P18" s="123"/>
      <c r="Q18" s="123"/>
      <c r="R18" s="123"/>
      <c r="S18" s="124"/>
      <c r="T18" s="125"/>
      <c r="U18" s="125"/>
      <c r="V18" s="126"/>
      <c r="Y18" s="10"/>
    </row>
    <row r="19" spans="1:25" ht="12.75">
      <c r="A19" s="136" t="s">
        <v>308</v>
      </c>
      <c r="B19" s="127">
        <v>43372</v>
      </c>
      <c r="C19" s="136" t="s">
        <v>547</v>
      </c>
      <c r="D19" s="137">
        <v>1161.59</v>
      </c>
      <c r="K19" s="127">
        <v>43378</v>
      </c>
      <c r="M19" s="127">
        <v>43402</v>
      </c>
      <c r="N19" s="127">
        <v>43402</v>
      </c>
      <c r="O19" s="123">
        <f t="shared" si="1"/>
        <v>5</v>
      </c>
      <c r="P19" s="123"/>
      <c r="Q19" s="123"/>
      <c r="R19" s="123"/>
      <c r="S19" s="124"/>
      <c r="T19" s="125"/>
      <c r="U19" s="125"/>
      <c r="V19" s="126"/>
      <c r="Y19" s="10"/>
    </row>
    <row r="20" spans="1:22" ht="12.75">
      <c r="A20" s="136" t="s">
        <v>309</v>
      </c>
      <c r="B20" s="127">
        <v>43373</v>
      </c>
      <c r="C20" s="136" t="s">
        <v>98</v>
      </c>
      <c r="D20" s="137">
        <v>134.9</v>
      </c>
      <c r="K20" s="127">
        <v>43383</v>
      </c>
      <c r="M20" s="127">
        <v>43388</v>
      </c>
      <c r="N20" s="127">
        <v>43388</v>
      </c>
      <c r="O20" s="123">
        <f t="shared" si="1"/>
        <v>10</v>
      </c>
      <c r="P20" s="123"/>
      <c r="Q20" s="123"/>
      <c r="R20" s="123"/>
      <c r="S20" s="124"/>
      <c r="T20" s="125"/>
      <c r="U20" s="125"/>
      <c r="V20" s="126"/>
    </row>
    <row r="21" spans="1:22" ht="12.75">
      <c r="A21" s="136" t="s">
        <v>318</v>
      </c>
      <c r="B21" s="127">
        <v>43373</v>
      </c>
      <c r="C21" s="136" t="s">
        <v>556</v>
      </c>
      <c r="D21" s="137">
        <v>459.34</v>
      </c>
      <c r="K21" s="127">
        <v>43384</v>
      </c>
      <c r="M21" s="127">
        <v>43388</v>
      </c>
      <c r="N21" s="127">
        <v>43388</v>
      </c>
      <c r="O21" s="123">
        <f t="shared" si="1"/>
        <v>11</v>
      </c>
      <c r="P21" s="123"/>
      <c r="Q21" s="123"/>
      <c r="R21" s="123"/>
      <c r="S21" s="124"/>
      <c r="T21" s="125"/>
      <c r="U21" s="125"/>
      <c r="V21" s="126"/>
    </row>
    <row r="22" spans="1:22" ht="12.75">
      <c r="A22" s="136" t="s">
        <v>319</v>
      </c>
      <c r="B22" s="127">
        <v>43373</v>
      </c>
      <c r="C22" s="136" t="s">
        <v>557</v>
      </c>
      <c r="D22" s="137">
        <v>127.47</v>
      </c>
      <c r="K22" s="127">
        <v>43389</v>
      </c>
      <c r="M22" s="127">
        <v>43403</v>
      </c>
      <c r="N22" s="127">
        <v>43403</v>
      </c>
      <c r="O22" s="123">
        <f t="shared" si="1"/>
        <v>16</v>
      </c>
      <c r="P22" s="123"/>
      <c r="Q22" s="123"/>
      <c r="R22" s="123"/>
      <c r="S22" s="124"/>
      <c r="T22" s="125"/>
      <c r="U22" s="125"/>
      <c r="V22" s="126"/>
    </row>
    <row r="23" spans="1:22" ht="12.75">
      <c r="A23" s="120" t="s">
        <v>321</v>
      </c>
      <c r="B23" s="121">
        <v>43341</v>
      </c>
      <c r="C23" s="120" t="s">
        <v>559</v>
      </c>
      <c r="D23" s="135">
        <v>456.85</v>
      </c>
      <c r="K23" s="121">
        <v>43389</v>
      </c>
      <c r="M23" s="121">
        <v>43340</v>
      </c>
      <c r="N23" s="121">
        <v>43340</v>
      </c>
      <c r="O23" s="123">
        <f t="shared" si="1"/>
        <v>16</v>
      </c>
      <c r="P23" s="123"/>
      <c r="Q23" s="123"/>
      <c r="R23" s="123"/>
      <c r="S23" s="124"/>
      <c r="T23" s="125"/>
      <c r="U23" s="125"/>
      <c r="V23" s="126"/>
    </row>
    <row r="24" spans="1:22" ht="12.75">
      <c r="A24" s="136" t="s">
        <v>325</v>
      </c>
      <c r="B24" s="127">
        <v>43373</v>
      </c>
      <c r="C24" s="136" t="s">
        <v>563</v>
      </c>
      <c r="D24" s="137">
        <v>36.99</v>
      </c>
      <c r="K24" s="127">
        <v>43389</v>
      </c>
      <c r="M24" s="127">
        <v>43403</v>
      </c>
      <c r="N24" s="127">
        <v>43403</v>
      </c>
      <c r="O24" s="123">
        <f t="shared" si="1"/>
        <v>16</v>
      </c>
      <c r="P24" s="123"/>
      <c r="Q24" s="123"/>
      <c r="R24" s="123"/>
      <c r="S24" s="124"/>
      <c r="T24" s="125"/>
      <c r="U24" s="125"/>
      <c r="V24" s="126"/>
    </row>
    <row r="25" spans="1:22" ht="12.75">
      <c r="A25" s="136" t="s">
        <v>326</v>
      </c>
      <c r="B25" s="127">
        <v>43368</v>
      </c>
      <c r="C25" s="136" t="s">
        <v>564</v>
      </c>
      <c r="D25" s="137">
        <v>493.92</v>
      </c>
      <c r="K25" s="127">
        <v>43389</v>
      </c>
      <c r="M25" s="127">
        <v>43398</v>
      </c>
      <c r="N25" s="127">
        <v>43398</v>
      </c>
      <c r="O25" s="123">
        <f t="shared" si="1"/>
        <v>16</v>
      </c>
      <c r="P25" s="123"/>
      <c r="Q25" s="123"/>
      <c r="R25" s="123"/>
      <c r="S25" s="124"/>
      <c r="T25" s="125"/>
      <c r="U25" s="125"/>
      <c r="V25" s="126"/>
    </row>
    <row r="26" spans="1:22" ht="12.75">
      <c r="A26" s="136" t="s">
        <v>327</v>
      </c>
      <c r="B26" s="127">
        <v>43370</v>
      </c>
      <c r="C26" s="136" t="s">
        <v>565</v>
      </c>
      <c r="D26" s="137">
        <v>212.98</v>
      </c>
      <c r="K26" s="127">
        <v>43389</v>
      </c>
      <c r="M26" s="127">
        <v>43400</v>
      </c>
      <c r="N26" s="127">
        <v>43400</v>
      </c>
      <c r="O26" s="123">
        <f t="shared" si="1"/>
        <v>16</v>
      </c>
      <c r="P26" s="123"/>
      <c r="Q26" s="123"/>
      <c r="R26" s="123"/>
      <c r="S26" s="124"/>
      <c r="T26" s="125"/>
      <c r="U26" s="125"/>
      <c r="V26" s="126"/>
    </row>
    <row r="27" spans="1:22" ht="12.75">
      <c r="A27" s="136" t="s">
        <v>328</v>
      </c>
      <c r="B27" s="127">
        <v>43328</v>
      </c>
      <c r="C27" s="136" t="s">
        <v>566</v>
      </c>
      <c r="D27" s="137">
        <v>27.71</v>
      </c>
      <c r="K27" s="127">
        <v>43390</v>
      </c>
      <c r="M27" s="127">
        <v>43402</v>
      </c>
      <c r="N27" s="127">
        <v>43402</v>
      </c>
      <c r="O27" s="123">
        <f t="shared" si="1"/>
        <v>17</v>
      </c>
      <c r="P27" s="123"/>
      <c r="Q27" s="123"/>
      <c r="R27" s="123"/>
      <c r="S27" s="124"/>
      <c r="T27" s="125"/>
      <c r="U27" s="125"/>
      <c r="V27" s="126"/>
    </row>
    <row r="28" spans="1:22" ht="12.75">
      <c r="A28" s="136" t="s">
        <v>329</v>
      </c>
      <c r="B28" s="127">
        <v>43373</v>
      </c>
      <c r="C28" s="136" t="s">
        <v>567</v>
      </c>
      <c r="D28" s="137">
        <v>605</v>
      </c>
      <c r="K28" s="127">
        <v>43391</v>
      </c>
      <c r="M28" s="127">
        <v>43402</v>
      </c>
      <c r="N28" s="127">
        <v>43402</v>
      </c>
      <c r="O28" s="123">
        <f t="shared" si="1"/>
        <v>18</v>
      </c>
      <c r="P28" s="123"/>
      <c r="Q28" s="123"/>
      <c r="R28" s="123"/>
      <c r="S28" s="124"/>
      <c r="T28" s="125"/>
      <c r="U28" s="125"/>
      <c r="V28" s="126"/>
    </row>
    <row r="29" spans="1:22" ht="12.75">
      <c r="A29" s="136" t="s">
        <v>330</v>
      </c>
      <c r="B29" s="127">
        <v>43371</v>
      </c>
      <c r="C29" s="136" t="s">
        <v>568</v>
      </c>
      <c r="D29" s="137">
        <v>395.67</v>
      </c>
      <c r="K29" s="127">
        <v>43391</v>
      </c>
      <c r="M29" s="127">
        <v>43401</v>
      </c>
      <c r="N29" s="127">
        <v>43401</v>
      </c>
      <c r="O29" s="123">
        <f t="shared" si="1"/>
        <v>18</v>
      </c>
      <c r="P29" s="123"/>
      <c r="Q29" s="123"/>
      <c r="R29" s="123"/>
      <c r="S29" s="124"/>
      <c r="T29" s="125"/>
      <c r="U29" s="125"/>
      <c r="V29" s="126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Bakartxo Villar</cp:lastModifiedBy>
  <cp:lastPrinted>2018-08-13T05:41:54Z</cp:lastPrinted>
  <dcterms:created xsi:type="dcterms:W3CDTF">2013-12-21T08:23:27Z</dcterms:created>
  <dcterms:modified xsi:type="dcterms:W3CDTF">2018-10-26T09:43:46Z</dcterms:modified>
  <cp:category/>
  <cp:version/>
  <cp:contentType/>
  <cp:contentStatus/>
</cp:coreProperties>
</file>