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20" windowWidth="19155" windowHeight="6510" activeTab="1"/>
  </bookViews>
  <sheets>
    <sheet name="INFORME 2015 1. TRIMEST" sheetId="1" r:id="rId1"/>
    <sheet name="TXOSTENA 2015 1. HIRUHILAB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<sst xmlns="http://schemas.openxmlformats.org/spreadsheetml/2006/main" count="212" uniqueCount="131">
  <si>
    <t>ORDAINKETA EPEAREN INFORMAZIOA</t>
  </si>
  <si>
    <t>Toki entitatea:</t>
  </si>
  <si>
    <t>Ekitaldia:</t>
  </si>
  <si>
    <t>Hiruhilekoa:</t>
  </si>
  <si>
    <t>1. Hiruhilekoan egindako ordainketak. Ordainketa epea obligazioa onartu zenetik hasita.</t>
  </si>
  <si>
    <t>1.1. Sailkapen ekonomikoaren arabera</t>
  </si>
  <si>
    <t>Hiruhileko ordainketak</t>
  </si>
  <si>
    <t>Ordainketa epea</t>
  </si>
  <si>
    <t>Hiruhilekoan egindako ordainketak</t>
  </si>
  <si>
    <t>(egunak batez beste)</t>
  </si>
  <si>
    <t>Legezko epearen barruan</t>
  </si>
  <si>
    <t>Legezko epetik kanpo</t>
  </si>
  <si>
    <t>Guztira</t>
  </si>
  <si>
    <t>Epez kanpokoena</t>
  </si>
  <si>
    <t>Ordainketa kopurua</t>
  </si>
  <si>
    <t>Zenbateko osoa</t>
  </si>
  <si>
    <t>Gastuak ondasun arruntetan eta zerbitzuetan</t>
  </si>
  <si>
    <t>20 -</t>
  </si>
  <si>
    <t>Errentamenduak eta kanonak</t>
  </si>
  <si>
    <t>21 -</t>
  </si>
  <si>
    <t>Konponketa, mantenimendua eta kontserbazioa</t>
  </si>
  <si>
    <t>22 -</t>
  </si>
  <si>
    <t>Materiala, hornidura eta beste batzuk</t>
  </si>
  <si>
    <t>23 -</t>
  </si>
  <si>
    <t>Kalte-ordaina zerbitzuagatik</t>
  </si>
  <si>
    <t>2X -</t>
  </si>
  <si>
    <t>Bestelakoak</t>
  </si>
  <si>
    <t>Inbertsio errealak</t>
  </si>
  <si>
    <t>6X -</t>
  </si>
  <si>
    <t xml:space="preserve"> Inbertsio errealak </t>
  </si>
  <si>
    <t>Aurrekontuari aplikatu gabeko ordainketak*</t>
  </si>
  <si>
    <t>Aurrekontura aplikatzeko dauden ordainketak</t>
  </si>
  <si>
    <t>* 2. eta 6. kapituluari dagozkion fakturak soilik</t>
  </si>
  <si>
    <t>1.2. Epearen arabera</t>
  </si>
  <si>
    <t>Egun kopurua</t>
  </si>
  <si>
    <t>Egindako ordainketak</t>
  </si>
  <si>
    <t>Faktura kopurua</t>
  </si>
  <si>
    <t>%</t>
  </si>
  <si>
    <t>30 egun edo gutxiago</t>
  </si>
  <si>
    <t>31etik 40 egunetara</t>
  </si>
  <si>
    <t>41etik 50 egunetara</t>
  </si>
  <si>
    <t>51tik 60 egunetara</t>
  </si>
  <si>
    <t>60 egun baino gehiago</t>
  </si>
  <si>
    <t>2. Ordaindu gabe gelditu diren fakturak. Epea obligazioa onartu zenetik hasita.</t>
  </si>
  <si>
    <t>Hiruhilekoa amaitzean ordaindu gabe dauden fakturak eta ordainagiriak</t>
  </si>
  <si>
    <t>Epea</t>
  </si>
  <si>
    <t>Hiruhilekoa amaitzean ordaintzeko daudenak</t>
  </si>
  <si>
    <t>Eragiketa kopurua</t>
  </si>
  <si>
    <t>Konponketak, mantenimendua eta artapena</t>
  </si>
  <si>
    <t>Materiala, hornidurak eta bestelakoak</t>
  </si>
  <si>
    <t>Kalte-ordainak zerbitzuagatik</t>
  </si>
  <si>
    <t>29 -</t>
  </si>
  <si>
    <t>Aurrekontuari aplikatu gabeko fakturak*</t>
  </si>
  <si>
    <t>Aurrekontura aplikatzeko daudenak</t>
  </si>
  <si>
    <t>3. Hiruhilekoa amaitzean obligazioa onartu gabe duten fakturak eta ordainagiriak</t>
  </si>
  <si>
    <t>3.1. Erregistroan idatzi zirenetik hiru hilabetetik gora daramatenak</t>
  </si>
  <si>
    <t xml:space="preserve">Hiru hilabete ondoren obligazioa onartu gabe duten fakturak eta ordainagiriak </t>
  </si>
  <si>
    <t>Epea
(egunak batez beste)</t>
  </si>
  <si>
    <t>Kopurua</t>
  </si>
  <si>
    <t>3.2. Erregistroan idatzi zirenetik daramatzaten egunak</t>
  </si>
  <si>
    <t xml:space="preserve">Obligazioa onartu gabe duten fakturak eta ordainagiriak </t>
  </si>
  <si>
    <t>Obligaziorik onartu gabeko fakturak</t>
  </si>
  <si>
    <t>31 eta 60 egun bitartean</t>
  </si>
  <si>
    <t>61 eta 90 egun bitartean</t>
  </si>
  <si>
    <t>90 egun baino gehiago</t>
  </si>
  <si>
    <t>4. Entitatearen ordainketen batez besteko epea (OBBE)</t>
  </si>
  <si>
    <t>Hiruhilekoaren OBBE</t>
  </si>
  <si>
    <t>Ordaindutako eragiketak</t>
  </si>
  <si>
    <t>Ordaindu gabeko eragiketak</t>
  </si>
  <si>
    <t>OBBE</t>
  </si>
  <si>
    <t>Ratioa</t>
  </si>
  <si>
    <t>Zenbatekoa</t>
  </si>
  <si>
    <t>OBBEari buruzko oharrak:</t>
  </si>
  <si>
    <t>INFORMACION SOBRE PLAZOS DE PAGO</t>
  </si>
  <si>
    <t>Entidad local:</t>
  </si>
  <si>
    <t>OARSOALDEA</t>
  </si>
  <si>
    <t>Ejercicio:</t>
  </si>
  <si>
    <t>Trimestre:</t>
  </si>
  <si>
    <t>1er trimestre</t>
  </si>
  <si>
    <t>1. Pagos realizados en el trimestre. Plazo desde el reconocimiento de la obligación.</t>
  </si>
  <si>
    <t>1.1. Por clasificación económica.</t>
  </si>
  <si>
    <t>Pagos en el trimestre</t>
  </si>
  <si>
    <t>Plazo de pago</t>
  </si>
  <si>
    <t>Pagos realizados en el trimestre</t>
  </si>
  <si>
    <t>(promedio de días)</t>
  </si>
  <si>
    <t>Dentro del plazo legal</t>
  </si>
  <si>
    <t>Fuera del plazo legal</t>
  </si>
  <si>
    <t>Total</t>
  </si>
  <si>
    <t>De las de fuera de plazo</t>
  </si>
  <si>
    <t>Número de pagos</t>
  </si>
  <si>
    <t>Importe total</t>
  </si>
  <si>
    <t>Gasto en bienes corrientes y servicios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</si>
  <si>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</si>
  <si>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</si>
  <si>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</si>
  <si>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</si>
  <si>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</si>
  <si>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realez</t>
  </si>
  <si>
    <t>Inversiones reales</t>
  </si>
  <si>
    <t>Pagos pendientes de aplicar al presupuesto*</t>
  </si>
  <si>
    <t>Pagos pendientes de aplicar al presupuesto</t>
  </si>
  <si>
    <t>sólo facturas correspondientes a capitulos 2 y 6</t>
  </si>
  <si>
    <t>1.2. Por plazos</t>
  </si>
  <si>
    <t>Numero de días</t>
  </si>
  <si>
    <t>Pagos realizados</t>
  </si>
  <si>
    <t>Número de facturas</t>
  </si>
  <si>
    <t>30 días o menos</t>
  </si>
  <si>
    <t>De 31 a 40 días</t>
  </si>
  <si>
    <t>De 51 a 60 días</t>
  </si>
  <si>
    <t>Más de 60 días</t>
  </si>
  <si>
    <t>2. Facturas pendientes de pago. Plazo dede el reconocimiento de la obligación</t>
  </si>
  <si>
    <t>Facturas y documentos justificativos pendientes de pago al final del trimestre</t>
  </si>
  <si>
    <t>Pendientes de pago al finalizar el trimestre</t>
  </si>
  <si>
    <t>Número de operaciones</t>
  </si>
  <si>
    <t>* sólo facturas correspondientes a capítulos 2 y 6</t>
  </si>
  <si>
    <t>3. Facturas y documentos justificativos sin obligación reconocida al finalizar el trimestre</t>
  </si>
  <si>
    <t>3.1. Con más de tres meses desde su entrada en registro</t>
  </si>
  <si>
    <t>Facturas y documentos justificativos sin obligación reconocida pasados más de tres meses desde su registro</t>
  </si>
  <si>
    <t>Plazo (promedio de días)</t>
  </si>
  <si>
    <t>Número</t>
  </si>
  <si>
    <t>3.2. Número de días desde su entrada en registro</t>
  </si>
  <si>
    <t>Facturas y documentos justificativos sin obligación reconocida</t>
  </si>
  <si>
    <t>Facturas sin obligación reconocida</t>
  </si>
  <si>
    <t>4. Plazo medio de pago de la entidad (PMP)</t>
  </si>
  <si>
    <t>PMP del trimestre</t>
  </si>
  <si>
    <t>Operaciones pagadas</t>
  </si>
  <si>
    <t>Operaciones pendientes de pago</t>
  </si>
  <si>
    <t>PMP</t>
  </si>
  <si>
    <t>Ratio</t>
  </si>
  <si>
    <t>Importe</t>
  </si>
  <si>
    <t>Observaciones sobre el PMP: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</si>
</sst>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23"/>
      </right>
      <top/>
      <bottom/>
    </border>
    <border>
      <left style="medium">
        <color indexed="23"/>
      </left>
      <right/>
      <top/>
      <bottom/>
    </border>
    <border>
      <left style="medium">
        <color indexed="55"/>
      </left>
      <right style="thin">
        <color indexed="55"/>
      </right>
      <top/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medium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medium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/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/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/>
    </border>
    <border>
      <left/>
      <right style="medium">
        <color indexed="55"/>
      </right>
      <top/>
      <bottom/>
    </border>
    <border>
      <left style="medium">
        <color indexed="23"/>
      </left>
      <right/>
      <top/>
      <bottom style="thin">
        <color indexed="55"/>
      </bottom>
    </border>
    <border>
      <left/>
      <right style="thin">
        <color indexed="55"/>
      </right>
      <top/>
      <bottom style="medium">
        <color indexed="23"/>
      </bottom>
    </border>
    <border>
      <left style="thin">
        <color indexed="55"/>
      </left>
      <right style="thin">
        <color indexed="55"/>
      </right>
      <top/>
      <bottom style="medium">
        <color indexed="23"/>
      </bottom>
    </border>
    <border>
      <left/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/>
      <top style="thin">
        <color indexed="55"/>
      </top>
      <bottom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/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/>
      <right style="medium">
        <color indexed="23"/>
      </right>
      <top style="medium">
        <color indexed="23"/>
      </top>
      <bottom style="thin">
        <color indexed="55"/>
      </bottom>
    </border>
    <border>
      <left/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/>
      <top style="thin">
        <color indexed="55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thin">
        <color indexed="55"/>
      </top>
      <bottom/>
    </border>
    <border>
      <left/>
      <right style="medium">
        <color indexed="55"/>
      </right>
      <top style="thin">
        <color indexed="55"/>
      </top>
      <bottom/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/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/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medium">
        <color indexed="23"/>
      </left>
      <right style="thin">
        <color indexed="55"/>
      </right>
      <top/>
      <bottom/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/>
      <top/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/>
    </border>
    <border>
      <left style="thin">
        <color indexed="55"/>
      </left>
      <right style="medium">
        <color indexed="55"/>
      </right>
      <top style="medium">
        <color indexed="23"/>
      </top>
      <bottom/>
    </border>
    <border>
      <left style="medium">
        <color indexed="23"/>
      </left>
      <right style="hair">
        <color indexed="8"/>
      </right>
      <top/>
      <bottom style="medium">
        <color indexed="23"/>
      </bottom>
    </border>
    <border>
      <left style="hair">
        <color indexed="8"/>
      </left>
      <right style="hair">
        <color indexed="8"/>
      </right>
      <top/>
      <bottom style="medium">
        <color indexed="23"/>
      </bottom>
    </border>
    <border>
      <left style="hair">
        <color indexed="8"/>
      </left>
      <right style="medium">
        <color indexed="55"/>
      </right>
      <top/>
      <bottom style="medium">
        <color indexed="23"/>
      </bottom>
    </border>
    <border>
      <left style="medium">
        <color indexed="23"/>
      </left>
      <right/>
      <top style="hair">
        <color indexed="8"/>
      </top>
      <bottom style="medium">
        <color indexed="23"/>
      </bottom>
    </border>
    <border>
      <left/>
      <right/>
      <top/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4" applyNumberFormat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33" borderId="10" xfId="56" applyFont="1" applyFill="1" applyBorder="1">
      <alignment/>
      <protection/>
    </xf>
    <xf numFmtId="0" fontId="6" fillId="33" borderId="0" xfId="56" applyFont="1" applyFill="1" applyBorder="1">
      <alignment/>
      <protection/>
    </xf>
    <xf numFmtId="0" fontId="7" fillId="33" borderId="0" xfId="56" applyFont="1" applyFill="1" applyBorder="1" applyAlignment="1">
      <alignment horizontal="right"/>
      <protection/>
    </xf>
    <xf numFmtId="0" fontId="6" fillId="33" borderId="11" xfId="56" applyFont="1" applyFill="1" applyBorder="1">
      <alignment/>
      <protection/>
    </xf>
    <xf numFmtId="0" fontId="8" fillId="33" borderId="0" xfId="56" applyFont="1" applyFill="1" applyBorder="1" applyAlignment="1">
      <alignment horizontal="right"/>
      <protection/>
    </xf>
    <xf numFmtId="0" fontId="8" fillId="34" borderId="0" xfId="56" applyFont="1" applyFill="1" applyBorder="1" applyAlignment="1">
      <alignment horizontal="center"/>
      <protection/>
    </xf>
    <xf numFmtId="0" fontId="9" fillId="33" borderId="0" xfId="56" applyFont="1" applyFill="1" applyBorder="1">
      <alignment/>
      <protection/>
    </xf>
    <xf numFmtId="0" fontId="6" fillId="33" borderId="12" xfId="56" applyFont="1" applyFill="1" applyBorder="1">
      <alignment/>
      <protection/>
    </xf>
    <xf numFmtId="0" fontId="6" fillId="33" borderId="13" xfId="56" applyFont="1" applyFill="1" applyBorder="1">
      <alignment/>
      <protection/>
    </xf>
    <xf numFmtId="0" fontId="8" fillId="33" borderId="13" xfId="56" applyFont="1" applyFill="1" applyBorder="1" applyAlignment="1">
      <alignment horizontal="right"/>
      <protection/>
    </xf>
    <xf numFmtId="0" fontId="8" fillId="34" borderId="13" xfId="56" applyFont="1" applyFill="1" applyBorder="1" applyAlignment="1">
      <alignment horizontal="center"/>
      <protection/>
    </xf>
    <xf numFmtId="0" fontId="9" fillId="33" borderId="13" xfId="56" applyFont="1" applyFill="1" applyBorder="1">
      <alignment/>
      <protection/>
    </xf>
    <xf numFmtId="0" fontId="6" fillId="33" borderId="1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right"/>
      <protection/>
    </xf>
    <xf numFmtId="0" fontId="11" fillId="0" borderId="0" xfId="56" applyFont="1" applyFill="1" applyBorder="1">
      <alignment/>
      <protection/>
    </xf>
    <xf numFmtId="0" fontId="12" fillId="0" borderId="0" xfId="56" applyFont="1">
      <alignment/>
      <protection/>
    </xf>
    <xf numFmtId="0" fontId="13" fillId="0" borderId="0" xfId="56" applyFont="1">
      <alignment/>
      <protection/>
    </xf>
    <xf numFmtId="0" fontId="14" fillId="0" borderId="0" xfId="56" applyFont="1">
      <alignment/>
      <protection/>
    </xf>
    <xf numFmtId="0" fontId="2" fillId="0" borderId="0" xfId="56" applyFont="1">
      <alignment/>
      <protection/>
    </xf>
    <xf numFmtId="0" fontId="13" fillId="34" borderId="15" xfId="56" applyFont="1" applyFill="1" applyBorder="1" applyAlignment="1">
      <alignment horizontal="center" vertical="center" wrapText="1"/>
      <protection/>
    </xf>
    <xf numFmtId="0" fontId="13" fillId="34" borderId="16" xfId="56" applyFont="1" applyFill="1" applyBorder="1" applyAlignment="1">
      <alignment horizontal="center" vertical="center" wrapText="1"/>
      <protection/>
    </xf>
    <xf numFmtId="0" fontId="13" fillId="34" borderId="17" xfId="56" applyFont="1" applyFill="1" applyBorder="1" applyAlignment="1">
      <alignment horizontal="center" vertical="center" wrapText="1"/>
      <protection/>
    </xf>
    <xf numFmtId="0" fontId="13" fillId="34" borderId="18" xfId="56" applyFont="1" applyFill="1" applyBorder="1" applyAlignment="1">
      <alignment horizontal="center" vertical="center" wrapText="1"/>
      <protection/>
    </xf>
    <xf numFmtId="0" fontId="13" fillId="34" borderId="19" xfId="56" applyFont="1" applyFill="1" applyBorder="1" applyAlignment="1">
      <alignment horizontal="center" vertical="center" wrapText="1"/>
      <protection/>
    </xf>
    <xf numFmtId="4" fontId="13" fillId="35" borderId="20" xfId="56" applyNumberFormat="1" applyFont="1" applyFill="1" applyBorder="1">
      <alignment/>
      <protection/>
    </xf>
    <xf numFmtId="4" fontId="13" fillId="35" borderId="21" xfId="56" applyNumberFormat="1" applyFont="1" applyFill="1" applyBorder="1">
      <alignment/>
      <protection/>
    </xf>
    <xf numFmtId="3" fontId="13" fillId="35" borderId="22" xfId="56" applyNumberFormat="1" applyFont="1" applyFill="1" applyBorder="1">
      <alignment/>
      <protection/>
    </xf>
    <xf numFmtId="4" fontId="13" fillId="35" borderId="23" xfId="56" applyNumberFormat="1" applyFont="1" applyFill="1" applyBorder="1">
      <alignment/>
      <protection/>
    </xf>
    <xf numFmtId="3" fontId="13" fillId="35" borderId="23" xfId="56" applyNumberFormat="1" applyFont="1" applyFill="1" applyBorder="1">
      <alignment/>
      <protection/>
    </xf>
    <xf numFmtId="4" fontId="13" fillId="35" borderId="24" xfId="56" applyNumberFormat="1" applyFont="1" applyFill="1" applyBorder="1">
      <alignment/>
      <protection/>
    </xf>
    <xf numFmtId="0" fontId="4" fillId="0" borderId="25" xfId="56" applyFont="1" applyFill="1" applyBorder="1">
      <alignment/>
      <protection/>
    </xf>
    <xf numFmtId="49" fontId="4" fillId="0" borderId="0" xfId="56" applyNumberFormat="1" applyFont="1" applyFill="1" applyBorder="1" applyAlignment="1">
      <alignment horizontal="right"/>
      <protection/>
    </xf>
    <xf numFmtId="4" fontId="4" fillId="0" borderId="26" xfId="56" applyNumberFormat="1" applyFont="1" applyBorder="1">
      <alignment/>
      <protection/>
    </xf>
    <xf numFmtId="4" fontId="4" fillId="0" borderId="27" xfId="56" applyNumberFormat="1" applyFont="1" applyBorder="1">
      <alignment/>
      <protection/>
    </xf>
    <xf numFmtId="3" fontId="4" fillId="0" borderId="11" xfId="56" applyNumberFormat="1" applyFont="1" applyBorder="1">
      <alignment/>
      <protection/>
    </xf>
    <xf numFmtId="4" fontId="4" fillId="0" borderId="28" xfId="56" applyNumberFormat="1" applyFont="1" applyBorder="1">
      <alignment/>
      <protection/>
    </xf>
    <xf numFmtId="3" fontId="4" fillId="0" borderId="28" xfId="56" applyNumberFormat="1" applyFont="1" applyBorder="1">
      <alignment/>
      <protection/>
    </xf>
    <xf numFmtId="4" fontId="4" fillId="0" borderId="24" xfId="56" applyNumberFormat="1" applyFont="1" applyBorder="1">
      <alignment/>
      <protection/>
    </xf>
    <xf numFmtId="3" fontId="13" fillId="35" borderId="11" xfId="56" applyNumberFormat="1" applyFont="1" applyFill="1" applyBorder="1">
      <alignment/>
      <protection/>
    </xf>
    <xf numFmtId="4" fontId="13" fillId="35" borderId="28" xfId="56" applyNumberFormat="1" applyFont="1" applyFill="1" applyBorder="1">
      <alignment/>
      <protection/>
    </xf>
    <xf numFmtId="3" fontId="13" fillId="35" borderId="28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/>
      <protection/>
    </xf>
    <xf numFmtId="4" fontId="4" fillId="36" borderId="29" xfId="56" applyNumberFormat="1" applyFont="1" applyFill="1" applyBorder="1">
      <alignment/>
      <protection/>
    </xf>
    <xf numFmtId="4" fontId="4" fillId="36" borderId="30" xfId="56" applyNumberFormat="1" applyFont="1" applyFill="1" applyBorder="1">
      <alignment/>
      <protection/>
    </xf>
    <xf numFmtId="3" fontId="4" fillId="36" borderId="14" xfId="56" applyNumberFormat="1" applyFont="1" applyFill="1" applyBorder="1">
      <alignment/>
      <protection/>
    </xf>
    <xf numFmtId="4" fontId="4" fillId="36" borderId="31" xfId="56" applyNumberFormat="1" applyFont="1" applyFill="1" applyBorder="1">
      <alignment/>
      <protection/>
    </xf>
    <xf numFmtId="3" fontId="4" fillId="36" borderId="31" xfId="56" applyNumberFormat="1" applyFont="1" applyFill="1" applyBorder="1">
      <alignment/>
      <protection/>
    </xf>
    <xf numFmtId="4" fontId="4" fillId="36" borderId="24" xfId="56" applyNumberFormat="1" applyFont="1" applyFill="1" applyBorder="1">
      <alignment/>
      <protection/>
    </xf>
    <xf numFmtId="4" fontId="13" fillId="35" borderId="32" xfId="56" applyNumberFormat="1" applyFont="1" applyFill="1" applyBorder="1">
      <alignment/>
      <protection/>
    </xf>
    <xf numFmtId="4" fontId="13" fillId="35" borderId="33" xfId="56" applyNumberFormat="1" applyFont="1" applyFill="1" applyBorder="1">
      <alignment/>
      <protection/>
    </xf>
    <xf numFmtId="3" fontId="13" fillId="35" borderId="34" xfId="56" applyNumberFormat="1" applyFont="1" applyFill="1" applyBorder="1">
      <alignment/>
      <protection/>
    </xf>
    <xf numFmtId="4" fontId="13" fillId="35" borderId="35" xfId="56" applyNumberFormat="1" applyFont="1" applyFill="1" applyBorder="1">
      <alignment/>
      <protection/>
    </xf>
    <xf numFmtId="3" fontId="13" fillId="35" borderId="35" xfId="56" applyNumberFormat="1" applyFont="1" applyFill="1" applyBorder="1">
      <alignment/>
      <protection/>
    </xf>
    <xf numFmtId="4" fontId="13" fillId="35" borderId="36" xfId="56" applyNumberFormat="1" applyFont="1" applyFill="1" applyBorder="1">
      <alignment/>
      <protection/>
    </xf>
    <xf numFmtId="2" fontId="3" fillId="0" borderId="0" xfId="56" applyNumberFormat="1" applyFont="1" applyBorder="1" applyAlignment="1">
      <alignment/>
      <protection/>
    </xf>
    <xf numFmtId="0" fontId="4" fillId="0" borderId="0" xfId="56" applyFont="1" applyBorder="1">
      <alignment/>
      <protection/>
    </xf>
    <xf numFmtId="3" fontId="4" fillId="0" borderId="20" xfId="56" applyNumberFormat="1" applyFont="1" applyBorder="1">
      <alignment/>
      <protection/>
    </xf>
    <xf numFmtId="4" fontId="4" fillId="0" borderId="23" xfId="56" applyNumberFormat="1" applyFont="1" applyBorder="1">
      <alignment/>
      <protection/>
    </xf>
    <xf numFmtId="4" fontId="4" fillId="0" borderId="37" xfId="56" applyNumberFormat="1" applyFont="1" applyBorder="1">
      <alignment/>
      <protection/>
    </xf>
    <xf numFmtId="3" fontId="4" fillId="0" borderId="26" xfId="56" applyNumberFormat="1" applyFont="1" applyBorder="1">
      <alignment/>
      <protection/>
    </xf>
    <xf numFmtId="49" fontId="4" fillId="0" borderId="0" xfId="56" applyNumberFormat="1" applyFont="1" applyFill="1" applyBorder="1" applyAlignment="1">
      <alignment horizontal="left"/>
      <protection/>
    </xf>
    <xf numFmtId="49" fontId="4" fillId="0" borderId="38" xfId="56" applyNumberFormat="1" applyFont="1" applyFill="1" applyBorder="1" applyAlignment="1">
      <alignment horizontal="left"/>
      <protection/>
    </xf>
    <xf numFmtId="0" fontId="4" fillId="0" borderId="39" xfId="56" applyFont="1" applyFill="1" applyBorder="1">
      <alignment/>
      <protection/>
    </xf>
    <xf numFmtId="3" fontId="4" fillId="0" borderId="29" xfId="56" applyNumberFormat="1" applyFont="1" applyBorder="1">
      <alignment/>
      <protection/>
    </xf>
    <xf numFmtId="4" fontId="4" fillId="0" borderId="31" xfId="56" applyNumberFormat="1" applyFont="1" applyBorder="1">
      <alignment/>
      <protection/>
    </xf>
    <xf numFmtId="3" fontId="13" fillId="35" borderId="40" xfId="56" applyNumberFormat="1" applyFont="1" applyFill="1" applyBorder="1">
      <alignment/>
      <protection/>
    </xf>
    <xf numFmtId="4" fontId="13" fillId="35" borderId="41" xfId="56" applyNumberFormat="1" applyFont="1" applyFill="1" applyBorder="1">
      <alignment/>
      <protection/>
    </xf>
    <xf numFmtId="0" fontId="1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3" fillId="34" borderId="42" xfId="56" applyFont="1" applyFill="1" applyBorder="1" applyAlignment="1">
      <alignment horizontal="center" vertical="center" wrapText="1"/>
      <protection/>
    </xf>
    <xf numFmtId="0" fontId="13" fillId="34" borderId="43" xfId="56" applyFont="1" applyFill="1" applyBorder="1" applyAlignment="1">
      <alignment horizontal="center" vertical="center" wrapText="1"/>
      <protection/>
    </xf>
    <xf numFmtId="0" fontId="13" fillId="34" borderId="44" xfId="56" applyFont="1" applyFill="1" applyBorder="1" applyAlignment="1">
      <alignment horizontal="center" vertical="center" wrapText="1"/>
      <protection/>
    </xf>
    <xf numFmtId="0" fontId="13" fillId="0" borderId="0" xfId="56" applyFont="1" applyFill="1" applyBorder="1" applyAlignment="1">
      <alignment wrapText="1"/>
      <protection/>
    </xf>
    <xf numFmtId="0" fontId="4" fillId="0" borderId="45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28" xfId="56" applyNumberFormat="1" applyFont="1" applyBorder="1" applyAlignment="1">
      <alignment/>
      <protection/>
    </xf>
    <xf numFmtId="4" fontId="13" fillId="35" borderId="34" xfId="56" applyNumberFormat="1" applyFont="1" applyFill="1" applyBorder="1">
      <alignment/>
      <protection/>
    </xf>
    <xf numFmtId="4" fontId="13" fillId="35" borderId="46" xfId="56" applyNumberFormat="1" applyFont="1" applyFill="1" applyBorder="1">
      <alignment/>
      <protection/>
    </xf>
    <xf numFmtId="0" fontId="15" fillId="0" borderId="0" xfId="56" applyFont="1" applyBorder="1">
      <alignment/>
      <protection/>
    </xf>
    <xf numFmtId="2" fontId="4" fillId="0" borderId="28" xfId="56" applyNumberFormat="1" applyFont="1" applyBorder="1">
      <alignment/>
      <protection/>
    </xf>
    <xf numFmtId="2" fontId="4" fillId="0" borderId="24" xfId="56" applyNumberFormat="1" applyFont="1" applyBorder="1">
      <alignment/>
      <protection/>
    </xf>
    <xf numFmtId="2" fontId="13" fillId="35" borderId="35" xfId="56" applyNumberFormat="1" applyFont="1" applyFill="1" applyBorder="1">
      <alignment/>
      <protection/>
    </xf>
    <xf numFmtId="2" fontId="13" fillId="35" borderId="46" xfId="56" applyNumberFormat="1" applyFont="1" applyFill="1" applyBorder="1">
      <alignment/>
      <protection/>
    </xf>
    <xf numFmtId="0" fontId="7" fillId="0" borderId="0" xfId="56" applyFont="1" applyFill="1" applyBorder="1" applyAlignment="1">
      <alignment horizontal="right"/>
      <protection/>
    </xf>
    <xf numFmtId="0" fontId="6" fillId="0" borderId="0" xfId="56" applyFont="1" applyFill="1" applyBorder="1">
      <alignment/>
      <protection/>
    </xf>
    <xf numFmtId="0" fontId="13" fillId="34" borderId="15" xfId="56" applyFont="1" applyFill="1" applyBorder="1" applyAlignment="1">
      <alignment horizontal="center" wrapText="1"/>
      <protection/>
    </xf>
    <xf numFmtId="0" fontId="13" fillId="34" borderId="16" xfId="56" applyFont="1" applyFill="1" applyBorder="1" applyAlignment="1">
      <alignment horizontal="center" wrapText="1"/>
      <protection/>
    </xf>
    <xf numFmtId="4" fontId="4" fillId="0" borderId="32" xfId="56" applyNumberFormat="1" applyFont="1" applyBorder="1">
      <alignment/>
      <protection/>
    </xf>
    <xf numFmtId="4" fontId="4" fillId="0" borderId="33" xfId="56" applyNumberFormat="1" applyFont="1" applyBorder="1">
      <alignment/>
      <protection/>
    </xf>
    <xf numFmtId="4" fontId="4" fillId="0" borderId="47" xfId="56" applyNumberFormat="1" applyFont="1" applyBorder="1">
      <alignment/>
      <protection/>
    </xf>
    <xf numFmtId="2" fontId="3" fillId="0" borderId="0" xfId="56" applyNumberFormat="1" applyFont="1">
      <alignment/>
      <protection/>
    </xf>
    <xf numFmtId="4" fontId="15" fillId="0" borderId="0" xfId="56" applyNumberFormat="1" applyFont="1" applyBorder="1">
      <alignment/>
      <protection/>
    </xf>
    <xf numFmtId="0" fontId="13" fillId="34" borderId="48" xfId="56" applyFont="1" applyFill="1" applyBorder="1" applyAlignment="1">
      <alignment horizontal="center" wrapText="1"/>
      <protection/>
    </xf>
    <xf numFmtId="0" fontId="13" fillId="34" borderId="49" xfId="56" applyFont="1" applyFill="1" applyBorder="1" applyAlignment="1">
      <alignment horizontal="center" wrapText="1"/>
      <protection/>
    </xf>
    <xf numFmtId="0" fontId="13" fillId="34" borderId="50" xfId="56" applyFont="1" applyFill="1" applyBorder="1" applyAlignment="1">
      <alignment horizontal="center" wrapText="1"/>
      <protection/>
    </xf>
    <xf numFmtId="0" fontId="4" fillId="0" borderId="51" xfId="56" applyFont="1" applyBorder="1">
      <alignment/>
      <protection/>
    </xf>
    <xf numFmtId="0" fontId="4" fillId="0" borderId="52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0" fontId="4" fillId="0" borderId="53" xfId="56" applyFont="1" applyBorder="1" applyAlignment="1">
      <alignment horizontal="center"/>
      <protection/>
    </xf>
    <xf numFmtId="0" fontId="4" fillId="36" borderId="54" xfId="56" applyFont="1" applyFill="1" applyBorder="1" applyAlignment="1">
      <alignment horizontal="left" vertical="top" wrapText="1"/>
      <protection/>
    </xf>
    <xf numFmtId="0" fontId="4" fillId="36" borderId="55" xfId="56" applyFont="1" applyFill="1" applyBorder="1" applyAlignment="1">
      <alignment horizontal="left" vertical="top" wrapText="1"/>
      <protection/>
    </xf>
    <xf numFmtId="0" fontId="4" fillId="0" borderId="56" xfId="56" applyFont="1" applyFill="1" applyBorder="1">
      <alignment/>
      <protection/>
    </xf>
    <xf numFmtId="0" fontId="4" fillId="0" borderId="57" xfId="56" applyFont="1" applyFill="1" applyBorder="1">
      <alignment/>
      <protection/>
    </xf>
    <xf numFmtId="49" fontId="4" fillId="0" borderId="0" xfId="56" applyNumberFormat="1" applyFont="1" applyFill="1" applyBorder="1" applyAlignment="1">
      <alignment horizontal="left"/>
      <protection/>
    </xf>
    <xf numFmtId="49" fontId="4" fillId="0" borderId="38" xfId="56" applyNumberFormat="1" applyFont="1" applyFill="1" applyBorder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4" fillId="0" borderId="38" xfId="56" applyFont="1" applyFill="1" applyBorder="1">
      <alignment/>
      <protection/>
    </xf>
    <xf numFmtId="0" fontId="13" fillId="37" borderId="58" xfId="56" applyFont="1" applyFill="1" applyBorder="1" applyAlignment="1">
      <alignment horizontal="right"/>
      <protection/>
    </xf>
    <xf numFmtId="0" fontId="13" fillId="37" borderId="59" xfId="56" applyFont="1" applyFill="1" applyBorder="1" applyAlignment="1">
      <alignment horizontal="right"/>
      <protection/>
    </xf>
    <xf numFmtId="0" fontId="13" fillId="37" borderId="60" xfId="56" applyFont="1" applyFill="1" applyBorder="1" applyAlignment="1">
      <alignment horizontal="right"/>
      <protection/>
    </xf>
    <xf numFmtId="0" fontId="13" fillId="34" borderId="61" xfId="56" applyFont="1" applyFill="1" applyBorder="1" applyAlignment="1">
      <alignment horizontal="center" wrapText="1"/>
      <protection/>
    </xf>
    <xf numFmtId="0" fontId="4" fillId="0" borderId="43" xfId="56" applyFont="1" applyBorder="1">
      <alignment/>
      <protection/>
    </xf>
    <xf numFmtId="0" fontId="4" fillId="0" borderId="62" xfId="56" applyFont="1" applyBorder="1">
      <alignment/>
      <protection/>
    </xf>
    <xf numFmtId="0" fontId="4" fillId="0" borderId="63" xfId="56" applyFont="1" applyBorder="1">
      <alignment/>
      <protection/>
    </xf>
    <xf numFmtId="0" fontId="4" fillId="0" borderId="18" xfId="56" applyFont="1" applyBorder="1">
      <alignment/>
      <protection/>
    </xf>
    <xf numFmtId="0" fontId="4" fillId="0" borderId="64" xfId="56" applyFont="1" applyBorder="1">
      <alignment/>
      <protection/>
    </xf>
    <xf numFmtId="0" fontId="4" fillId="0" borderId="13" xfId="56" applyFont="1" applyFill="1" applyBorder="1">
      <alignment/>
      <protection/>
    </xf>
    <xf numFmtId="0" fontId="4" fillId="0" borderId="65" xfId="56" applyFont="1" applyFill="1" applyBorder="1">
      <alignment/>
      <protection/>
    </xf>
    <xf numFmtId="0" fontId="13" fillId="37" borderId="52" xfId="56" applyFont="1" applyFill="1" applyBorder="1" applyAlignment="1">
      <alignment horizontal="right"/>
      <protection/>
    </xf>
    <xf numFmtId="0" fontId="13" fillId="37" borderId="35" xfId="56" applyFont="1" applyFill="1" applyBorder="1" applyAlignment="1">
      <alignment horizontal="right"/>
      <protection/>
    </xf>
    <xf numFmtId="0" fontId="13" fillId="37" borderId="33" xfId="56" applyFont="1" applyFill="1" applyBorder="1" applyAlignment="1">
      <alignment horizontal="right"/>
      <protection/>
    </xf>
    <xf numFmtId="0" fontId="13" fillId="34" borderId="61" xfId="56" applyFont="1" applyFill="1" applyBorder="1" applyAlignment="1">
      <alignment horizontal="center" vertical="center" wrapText="1"/>
      <protection/>
    </xf>
    <xf numFmtId="0" fontId="13" fillId="34" borderId="43" xfId="56" applyFont="1" applyFill="1" applyBorder="1" applyAlignment="1">
      <alignment horizontal="center" vertical="center" wrapText="1"/>
      <protection/>
    </xf>
    <xf numFmtId="0" fontId="13" fillId="34" borderId="49" xfId="56" applyFont="1" applyFill="1" applyBorder="1" applyAlignment="1">
      <alignment horizontal="center" vertical="center" wrapText="1"/>
      <protection/>
    </xf>
    <xf numFmtId="0" fontId="13" fillId="34" borderId="63" xfId="56" applyFont="1" applyFill="1" applyBorder="1" applyAlignment="1">
      <alignment horizontal="center" vertical="center" wrapText="1"/>
      <protection/>
    </xf>
    <xf numFmtId="0" fontId="13" fillId="34" borderId="18" xfId="56" applyFont="1" applyFill="1" applyBorder="1" applyAlignment="1">
      <alignment horizontal="center" vertical="center" wrapText="1"/>
      <protection/>
    </xf>
    <xf numFmtId="0" fontId="13" fillId="34" borderId="16" xfId="56" applyFont="1" applyFill="1" applyBorder="1" applyAlignment="1">
      <alignment horizontal="center" vertical="center" wrapText="1"/>
      <protection/>
    </xf>
    <xf numFmtId="0" fontId="13" fillId="34" borderId="42" xfId="56" applyFont="1" applyFill="1" applyBorder="1" applyAlignment="1">
      <alignment horizontal="center" wrapText="1"/>
      <protection/>
    </xf>
    <xf numFmtId="0" fontId="13" fillId="34" borderId="43" xfId="56" applyFont="1" applyFill="1" applyBorder="1" applyAlignment="1">
      <alignment horizontal="center" wrapText="1"/>
      <protection/>
    </xf>
    <xf numFmtId="0" fontId="13" fillId="34" borderId="44" xfId="56" applyFont="1" applyFill="1" applyBorder="1" applyAlignment="1">
      <alignment horizontal="center" wrapText="1"/>
      <protection/>
    </xf>
    <xf numFmtId="0" fontId="13" fillId="35" borderId="66" xfId="56" applyFont="1" applyFill="1" applyBorder="1">
      <alignment/>
      <protection/>
    </xf>
    <xf numFmtId="0" fontId="13" fillId="35" borderId="23" xfId="56" applyFont="1" applyFill="1" applyBorder="1">
      <alignment/>
      <protection/>
    </xf>
    <xf numFmtId="0" fontId="13" fillId="35" borderId="67" xfId="56" applyFont="1" applyFill="1" applyBorder="1">
      <alignment/>
      <protection/>
    </xf>
    <xf numFmtId="0" fontId="13" fillId="35" borderId="25" xfId="56" applyFont="1" applyFill="1" applyBorder="1">
      <alignment/>
      <protection/>
    </xf>
    <xf numFmtId="0" fontId="13" fillId="35" borderId="0" xfId="56" applyFont="1" applyFill="1" applyBorder="1">
      <alignment/>
      <protection/>
    </xf>
    <xf numFmtId="0" fontId="13" fillId="35" borderId="68" xfId="56" applyFont="1" applyFill="1" applyBorder="1">
      <alignment/>
      <protection/>
    </xf>
    <xf numFmtId="0" fontId="13" fillId="35" borderId="28" xfId="56" applyFont="1" applyFill="1" applyBorder="1">
      <alignment/>
      <protection/>
    </xf>
    <xf numFmtId="0" fontId="13" fillId="35" borderId="10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3" fillId="37" borderId="69" xfId="56" applyFont="1" applyFill="1" applyBorder="1" applyAlignment="1">
      <alignment horizontal="right"/>
      <protection/>
    </xf>
    <xf numFmtId="0" fontId="13" fillId="37" borderId="41" xfId="56" applyFont="1" applyFill="1" applyBorder="1" applyAlignment="1">
      <alignment horizontal="right"/>
      <protection/>
    </xf>
    <xf numFmtId="0" fontId="13" fillId="37" borderId="70" xfId="56" applyFont="1" applyFill="1" applyBorder="1" applyAlignment="1">
      <alignment horizontal="right"/>
      <protection/>
    </xf>
    <xf numFmtId="0" fontId="13" fillId="34" borderId="62" xfId="56" applyFont="1" applyFill="1" applyBorder="1" applyAlignment="1">
      <alignment horizontal="center" vertical="center" wrapText="1"/>
      <protection/>
    </xf>
    <xf numFmtId="0" fontId="13" fillId="34" borderId="64" xfId="56" applyFont="1" applyFill="1" applyBorder="1" applyAlignment="1">
      <alignment horizontal="center" vertical="center" wrapText="1"/>
      <protection/>
    </xf>
    <xf numFmtId="0" fontId="13" fillId="34" borderId="71" xfId="56" applyFont="1" applyFill="1" applyBorder="1" applyAlignment="1">
      <alignment horizontal="center"/>
      <protection/>
    </xf>
    <xf numFmtId="0" fontId="13" fillId="34" borderId="72" xfId="56" applyFont="1" applyFill="1" applyBorder="1" applyAlignment="1">
      <alignment horizontal="center"/>
      <protection/>
    </xf>
    <xf numFmtId="0" fontId="13" fillId="34" borderId="42" xfId="56" applyFont="1" applyFill="1" applyBorder="1" applyAlignment="1">
      <alignment horizontal="center"/>
      <protection/>
    </xf>
    <xf numFmtId="0" fontId="13" fillId="34" borderId="43" xfId="56" applyFont="1" applyFill="1" applyBorder="1" applyAlignment="1">
      <alignment horizontal="center"/>
      <protection/>
    </xf>
    <xf numFmtId="0" fontId="13" fillId="34" borderId="44" xfId="56" applyFont="1" applyFill="1" applyBorder="1" applyAlignment="1">
      <alignment horizontal="center"/>
      <protection/>
    </xf>
    <xf numFmtId="0" fontId="13" fillId="34" borderId="29" xfId="56" applyFont="1" applyFill="1" applyBorder="1" applyAlignment="1">
      <alignment horizontal="center"/>
      <protection/>
    </xf>
    <xf numFmtId="0" fontId="13" fillId="34" borderId="30" xfId="56" applyFont="1" applyFill="1" applyBorder="1" applyAlignment="1">
      <alignment horizontal="center"/>
      <protection/>
    </xf>
    <xf numFmtId="0" fontId="13" fillId="34" borderId="17" xfId="56" applyFont="1" applyFill="1" applyBorder="1" applyAlignment="1">
      <alignment horizontal="center"/>
      <protection/>
    </xf>
    <xf numFmtId="0" fontId="13" fillId="34" borderId="18" xfId="56" applyFont="1" applyFill="1" applyBorder="1" applyAlignment="1">
      <alignment horizontal="center"/>
      <protection/>
    </xf>
    <xf numFmtId="0" fontId="13" fillId="34" borderId="19" xfId="56" applyFont="1" applyFill="1" applyBorder="1" applyAlignment="1">
      <alignment horizontal="center"/>
      <protection/>
    </xf>
    <xf numFmtId="0" fontId="13" fillId="37" borderId="73" xfId="56" applyFont="1" applyFill="1" applyBorder="1" applyAlignment="1">
      <alignment horizontal="right"/>
      <protection/>
    </xf>
    <xf numFmtId="0" fontId="13" fillId="37" borderId="74" xfId="56" applyFont="1" applyFill="1" applyBorder="1" applyAlignment="1">
      <alignment horizontal="right"/>
      <protection/>
    </xf>
    <xf numFmtId="0" fontId="13" fillId="37" borderId="75" xfId="56" applyFont="1" applyFill="1" applyBorder="1" applyAlignment="1">
      <alignment horizontal="right"/>
      <protection/>
    </xf>
    <xf numFmtId="0" fontId="13" fillId="35" borderId="76" xfId="56" applyFont="1" applyFill="1" applyBorder="1" applyAlignment="1">
      <alignment horizontal="right"/>
      <protection/>
    </xf>
    <xf numFmtId="0" fontId="13" fillId="35" borderId="77" xfId="56" applyFont="1" applyFill="1" applyBorder="1" applyAlignment="1">
      <alignment horizontal="right"/>
      <protection/>
    </xf>
    <xf numFmtId="2" fontId="3" fillId="0" borderId="13" xfId="56" applyNumberFormat="1" applyFont="1" applyBorder="1" applyAlignment="1">
      <alignment horizontal="center"/>
      <protection/>
    </xf>
    <xf numFmtId="0" fontId="5" fillId="38" borderId="67" xfId="56" applyFont="1" applyFill="1" applyBorder="1" applyAlignment="1">
      <alignment horizontal="center"/>
      <protection/>
    </xf>
    <xf numFmtId="0" fontId="5" fillId="38" borderId="56" xfId="56" applyFont="1" applyFill="1" applyBorder="1" applyAlignment="1">
      <alignment horizontal="center"/>
      <protection/>
    </xf>
    <xf numFmtId="0" fontId="5" fillId="38" borderId="22" xfId="56" applyFont="1" applyFill="1" applyBorder="1" applyAlignment="1">
      <alignment horizontal="center"/>
      <protection/>
    </xf>
    <xf numFmtId="0" fontId="7" fillId="34" borderId="0" xfId="56" applyFont="1" applyFill="1" applyBorder="1">
      <alignment/>
      <protection/>
    </xf>
  </cellXfs>
  <cellStyles count="48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2" xfId="56"/>
    <cellStyle name="Oharra" xfId="57"/>
    <cellStyle name="Ohar-testua" xfId="58"/>
    <cellStyle name="Ondo" xfId="59"/>
    <cellStyle name="Sarrera" xfId="60"/>
    <cellStyle name="Titulua" xfId="61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CEL\Contabilidad\Contabilidad\BERANKORTASUNA\PMP%201er%20trimestr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CEL\Contabilidad\Contabilidad\BERANKORTASUNA\Berankortasuna%201.hiruhilako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detalle1"/>
      <sheetName val="detalle2"/>
      <sheetName val="detalle32"/>
    </sheetNames>
    <sheetDataSet>
      <sheetData sheetId="1">
        <row r="2">
          <cell r="D2" t="str">
            <v>optativos</v>
          </cell>
        </row>
        <row r="3">
          <cell r="D3" t="str">
            <v>obligatorios</v>
          </cell>
        </row>
        <row r="5">
          <cell r="D5" t="str">
            <v>Importe</v>
          </cell>
          <cell r="P5" t="str">
            <v>Plazo
 O-P</v>
          </cell>
          <cell r="S5" t="str">
            <v>Artíc.</v>
          </cell>
          <cell r="T5" t="str">
            <v>ponderación 1</v>
          </cell>
          <cell r="U5" t="str">
            <v>ponderación 2</v>
          </cell>
          <cell r="V5" t="str">
            <v>En plazo</v>
          </cell>
        </row>
        <row r="6">
          <cell r="D6">
            <v>3960</v>
          </cell>
          <cell r="P6">
            <v>0</v>
          </cell>
          <cell r="S6">
            <v>29</v>
          </cell>
          <cell r="T6">
            <v>0</v>
          </cell>
          <cell r="U6">
            <v>-110880</v>
          </cell>
          <cell r="V6">
            <v>129</v>
          </cell>
        </row>
        <row r="7">
          <cell r="D7">
            <v>3960</v>
          </cell>
          <cell r="P7">
            <v>0</v>
          </cell>
          <cell r="S7">
            <v>29</v>
          </cell>
          <cell r="T7">
            <v>0</v>
          </cell>
          <cell r="U7">
            <v>-7920</v>
          </cell>
          <cell r="V7">
            <v>129</v>
          </cell>
        </row>
        <row r="8">
          <cell r="D8">
            <v>3960</v>
          </cell>
          <cell r="P8">
            <v>0</v>
          </cell>
          <cell r="S8">
            <v>29</v>
          </cell>
          <cell r="T8">
            <v>0</v>
          </cell>
          <cell r="U8">
            <v>102960</v>
          </cell>
          <cell r="V8">
            <v>129</v>
          </cell>
        </row>
        <row r="9">
          <cell r="D9">
            <v>3420</v>
          </cell>
          <cell r="P9">
            <v>0</v>
          </cell>
          <cell r="S9">
            <v>29</v>
          </cell>
          <cell r="T9">
            <v>0</v>
          </cell>
          <cell r="U9">
            <v>-41040</v>
          </cell>
          <cell r="V9">
            <v>129</v>
          </cell>
        </row>
        <row r="10">
          <cell r="D10">
            <v>52</v>
          </cell>
          <cell r="P10">
            <v>0</v>
          </cell>
          <cell r="S10">
            <v>29</v>
          </cell>
          <cell r="T10">
            <v>0</v>
          </cell>
          <cell r="U10">
            <v>-1508</v>
          </cell>
          <cell r="V10">
            <v>129</v>
          </cell>
        </row>
        <row r="11">
          <cell r="D11">
            <v>3420</v>
          </cell>
          <cell r="P11">
            <v>0</v>
          </cell>
          <cell r="S11">
            <v>29</v>
          </cell>
          <cell r="T11">
            <v>0</v>
          </cell>
          <cell r="U11">
            <v>-102600</v>
          </cell>
          <cell r="V11">
            <v>129</v>
          </cell>
        </row>
        <row r="12">
          <cell r="D12">
            <v>27104</v>
          </cell>
          <cell r="P12">
            <v>0</v>
          </cell>
          <cell r="S12">
            <v>29</v>
          </cell>
          <cell r="T12">
            <v>0</v>
          </cell>
          <cell r="U12">
            <v>-786016</v>
          </cell>
          <cell r="V12">
            <v>129</v>
          </cell>
        </row>
        <row r="13">
          <cell r="D13">
            <v>3420</v>
          </cell>
          <cell r="P13">
            <v>0</v>
          </cell>
          <cell r="S13">
            <v>29</v>
          </cell>
          <cell r="T13">
            <v>0</v>
          </cell>
          <cell r="U13">
            <v>6840</v>
          </cell>
          <cell r="V13">
            <v>129</v>
          </cell>
        </row>
        <row r="14">
          <cell r="D14">
            <v>508.33</v>
          </cell>
          <cell r="P14">
            <v>0</v>
          </cell>
          <cell r="S14">
            <v>29</v>
          </cell>
          <cell r="T14">
            <v>0</v>
          </cell>
          <cell r="U14">
            <v>-19316.54</v>
          </cell>
          <cell r="V14">
            <v>129</v>
          </cell>
        </row>
        <row r="15">
          <cell r="D15">
            <v>480.71</v>
          </cell>
          <cell r="P15">
            <v>0</v>
          </cell>
          <cell r="S15">
            <v>29</v>
          </cell>
          <cell r="T15">
            <v>0</v>
          </cell>
          <cell r="U15">
            <v>-24035.5</v>
          </cell>
          <cell r="V15">
            <v>129</v>
          </cell>
        </row>
        <row r="16">
          <cell r="D16">
            <v>77</v>
          </cell>
          <cell r="P16">
            <v>0</v>
          </cell>
          <cell r="S16">
            <v>29</v>
          </cell>
          <cell r="T16">
            <v>0</v>
          </cell>
          <cell r="U16">
            <v>-2695</v>
          </cell>
          <cell r="V16">
            <v>129</v>
          </cell>
        </row>
        <row r="17">
          <cell r="D17">
            <v>8344.38</v>
          </cell>
          <cell r="P17">
            <v>0</v>
          </cell>
          <cell r="S17">
            <v>29</v>
          </cell>
          <cell r="T17">
            <v>0</v>
          </cell>
          <cell r="U17">
            <v>-342119.57999999996</v>
          </cell>
          <cell r="V17">
            <v>129</v>
          </cell>
        </row>
        <row r="18">
          <cell r="D18">
            <v>1668.35</v>
          </cell>
          <cell r="P18">
            <v>0</v>
          </cell>
          <cell r="S18">
            <v>29</v>
          </cell>
          <cell r="T18">
            <v>0</v>
          </cell>
          <cell r="U18">
            <v>-60060.6</v>
          </cell>
          <cell r="V18">
            <v>129</v>
          </cell>
        </row>
        <row r="19">
          <cell r="D19">
            <v>674.09</v>
          </cell>
          <cell r="P19">
            <v>0</v>
          </cell>
          <cell r="S19">
            <v>20</v>
          </cell>
          <cell r="T19">
            <v>0</v>
          </cell>
          <cell r="U19">
            <v>-24267.24</v>
          </cell>
          <cell r="V19">
            <v>120</v>
          </cell>
        </row>
        <row r="20">
          <cell r="D20">
            <v>364.63</v>
          </cell>
          <cell r="P20">
            <v>0</v>
          </cell>
          <cell r="S20">
            <v>29</v>
          </cell>
          <cell r="T20">
            <v>0</v>
          </cell>
          <cell r="U20">
            <v>-13855.94</v>
          </cell>
          <cell r="V20">
            <v>129</v>
          </cell>
        </row>
        <row r="21">
          <cell r="D21">
            <v>495.65</v>
          </cell>
          <cell r="P21">
            <v>0</v>
          </cell>
          <cell r="S21">
            <v>29</v>
          </cell>
          <cell r="T21">
            <v>0</v>
          </cell>
          <cell r="U21">
            <v>-24782.5</v>
          </cell>
          <cell r="V21">
            <v>129</v>
          </cell>
        </row>
        <row r="22">
          <cell r="D22">
            <v>845.22</v>
          </cell>
          <cell r="P22">
            <v>0</v>
          </cell>
          <cell r="S22">
            <v>29</v>
          </cell>
          <cell r="T22">
            <v>0</v>
          </cell>
          <cell r="U22">
            <v>-42261</v>
          </cell>
          <cell r="V22">
            <v>129</v>
          </cell>
        </row>
        <row r="23">
          <cell r="D23">
            <v>63.38</v>
          </cell>
          <cell r="P23">
            <v>0</v>
          </cell>
          <cell r="S23">
            <v>21</v>
          </cell>
          <cell r="T23">
            <v>0</v>
          </cell>
          <cell r="U23">
            <v>-380.28000000000003</v>
          </cell>
          <cell r="V23">
            <v>121</v>
          </cell>
        </row>
        <row r="24">
          <cell r="D24">
            <v>126</v>
          </cell>
          <cell r="P24">
            <v>0</v>
          </cell>
          <cell r="S24">
            <v>29</v>
          </cell>
          <cell r="T24">
            <v>0</v>
          </cell>
          <cell r="U24">
            <v>-1260</v>
          </cell>
          <cell r="V24">
            <v>129</v>
          </cell>
        </row>
        <row r="25">
          <cell r="D25">
            <v>138.05</v>
          </cell>
          <cell r="P25">
            <v>0</v>
          </cell>
          <cell r="S25">
            <v>29</v>
          </cell>
          <cell r="T25">
            <v>0</v>
          </cell>
          <cell r="U25">
            <v>-3865.4000000000005</v>
          </cell>
          <cell r="V25">
            <v>129</v>
          </cell>
        </row>
        <row r="26">
          <cell r="D26">
            <v>847.33</v>
          </cell>
          <cell r="P26">
            <v>0</v>
          </cell>
          <cell r="S26">
            <v>22</v>
          </cell>
          <cell r="T26">
            <v>0</v>
          </cell>
          <cell r="U26">
            <v>16946.600000000002</v>
          </cell>
          <cell r="V26">
            <v>122</v>
          </cell>
        </row>
        <row r="27">
          <cell r="D27">
            <v>1185.8</v>
          </cell>
          <cell r="P27">
            <v>0</v>
          </cell>
          <cell r="S27">
            <v>21</v>
          </cell>
          <cell r="T27">
            <v>0</v>
          </cell>
          <cell r="U27">
            <v>-15415.4</v>
          </cell>
          <cell r="V27">
            <v>121</v>
          </cell>
        </row>
        <row r="28">
          <cell r="D28">
            <v>694.06</v>
          </cell>
          <cell r="P28">
            <v>0</v>
          </cell>
          <cell r="S28">
            <v>29</v>
          </cell>
          <cell r="T28">
            <v>0</v>
          </cell>
          <cell r="U28">
            <v>-17351.5</v>
          </cell>
          <cell r="V28">
            <v>129</v>
          </cell>
        </row>
        <row r="29">
          <cell r="D29">
            <v>589.56</v>
          </cell>
          <cell r="P29">
            <v>0</v>
          </cell>
          <cell r="S29">
            <v>29</v>
          </cell>
          <cell r="T29">
            <v>0</v>
          </cell>
          <cell r="U29">
            <v>-14738.999999999998</v>
          </cell>
          <cell r="V29">
            <v>129</v>
          </cell>
        </row>
        <row r="30">
          <cell r="D30">
            <v>88.75</v>
          </cell>
          <cell r="P30">
            <v>0</v>
          </cell>
          <cell r="S30">
            <v>29</v>
          </cell>
          <cell r="T30">
            <v>0</v>
          </cell>
          <cell r="U30">
            <v>-2218.75</v>
          </cell>
          <cell r="V30">
            <v>129</v>
          </cell>
        </row>
        <row r="31">
          <cell r="D31">
            <v>238.55</v>
          </cell>
          <cell r="P31">
            <v>0</v>
          </cell>
          <cell r="S31">
            <v>29</v>
          </cell>
          <cell r="T31">
            <v>0</v>
          </cell>
          <cell r="U31">
            <v>-5963.75</v>
          </cell>
          <cell r="V31">
            <v>129</v>
          </cell>
        </row>
        <row r="32">
          <cell r="D32">
            <v>429.55</v>
          </cell>
          <cell r="P32">
            <v>0</v>
          </cell>
          <cell r="S32">
            <v>29</v>
          </cell>
          <cell r="T32">
            <v>0</v>
          </cell>
          <cell r="U32">
            <v>-24054.8</v>
          </cell>
          <cell r="V32">
            <v>129</v>
          </cell>
        </row>
        <row r="33">
          <cell r="D33">
            <v>477.57</v>
          </cell>
          <cell r="P33">
            <v>0</v>
          </cell>
          <cell r="S33">
            <v>29</v>
          </cell>
          <cell r="T33">
            <v>0</v>
          </cell>
          <cell r="U33">
            <v>-16714.95</v>
          </cell>
          <cell r="V33">
            <v>129</v>
          </cell>
        </row>
        <row r="34">
          <cell r="D34">
            <v>977.27</v>
          </cell>
          <cell r="P34">
            <v>0</v>
          </cell>
          <cell r="S34">
            <v>29</v>
          </cell>
          <cell r="T34">
            <v>0</v>
          </cell>
          <cell r="U34">
            <v>-32249.91</v>
          </cell>
          <cell r="V34">
            <v>129</v>
          </cell>
        </row>
        <row r="35">
          <cell r="D35">
            <v>72.65</v>
          </cell>
          <cell r="P35">
            <v>0</v>
          </cell>
          <cell r="S35">
            <v>29</v>
          </cell>
          <cell r="T35">
            <v>0</v>
          </cell>
          <cell r="U35">
            <v>-2397.4500000000003</v>
          </cell>
          <cell r="V35">
            <v>129</v>
          </cell>
        </row>
        <row r="36">
          <cell r="D36">
            <v>75.07</v>
          </cell>
          <cell r="P36">
            <v>0</v>
          </cell>
          <cell r="S36">
            <v>29</v>
          </cell>
          <cell r="T36">
            <v>0</v>
          </cell>
          <cell r="U36">
            <v>-2477.31</v>
          </cell>
          <cell r="V36">
            <v>129</v>
          </cell>
        </row>
        <row r="37">
          <cell r="D37">
            <v>1827.1</v>
          </cell>
          <cell r="P37">
            <v>0</v>
          </cell>
          <cell r="S37">
            <v>29</v>
          </cell>
          <cell r="T37">
            <v>0</v>
          </cell>
          <cell r="U37">
            <v>-42023.299999999996</v>
          </cell>
          <cell r="V37">
            <v>129</v>
          </cell>
        </row>
        <row r="38">
          <cell r="D38">
            <v>1350.36</v>
          </cell>
          <cell r="P38">
            <v>0</v>
          </cell>
          <cell r="S38">
            <v>69</v>
          </cell>
          <cell r="T38">
            <v>0</v>
          </cell>
          <cell r="U38">
            <v>-24306.48</v>
          </cell>
          <cell r="V38">
            <v>169</v>
          </cell>
        </row>
        <row r="39">
          <cell r="D39">
            <v>527.56</v>
          </cell>
          <cell r="P39">
            <v>0</v>
          </cell>
          <cell r="S39">
            <v>69</v>
          </cell>
          <cell r="T39">
            <v>0</v>
          </cell>
          <cell r="U39">
            <v>-9496.079999999998</v>
          </cell>
          <cell r="V39">
            <v>169</v>
          </cell>
        </row>
        <row r="40">
          <cell r="D40">
            <v>224.47</v>
          </cell>
          <cell r="P40">
            <v>0</v>
          </cell>
          <cell r="S40">
            <v>21</v>
          </cell>
          <cell r="T40">
            <v>0</v>
          </cell>
          <cell r="U40">
            <v>-4040.46</v>
          </cell>
          <cell r="V40">
            <v>121</v>
          </cell>
        </row>
        <row r="41">
          <cell r="D41">
            <v>64.9</v>
          </cell>
          <cell r="P41">
            <v>0</v>
          </cell>
          <cell r="S41">
            <v>29</v>
          </cell>
          <cell r="T41">
            <v>0</v>
          </cell>
          <cell r="U41">
            <v>-649</v>
          </cell>
          <cell r="V41">
            <v>129</v>
          </cell>
        </row>
        <row r="42">
          <cell r="D42">
            <v>320.65</v>
          </cell>
          <cell r="P42">
            <v>0</v>
          </cell>
          <cell r="S42">
            <v>29</v>
          </cell>
          <cell r="T42">
            <v>0</v>
          </cell>
          <cell r="U42">
            <v>-4489.099999999999</v>
          </cell>
          <cell r="V42">
            <v>129</v>
          </cell>
        </row>
        <row r="43">
          <cell r="D43">
            <v>360</v>
          </cell>
          <cell r="P43">
            <v>0</v>
          </cell>
          <cell r="S43">
            <v>29</v>
          </cell>
          <cell r="T43">
            <v>0</v>
          </cell>
          <cell r="U43">
            <v>-6480</v>
          </cell>
          <cell r="V43">
            <v>129</v>
          </cell>
        </row>
        <row r="44">
          <cell r="D44">
            <v>600</v>
          </cell>
          <cell r="P44">
            <v>0</v>
          </cell>
          <cell r="S44">
            <v>29</v>
          </cell>
          <cell r="T44">
            <v>0</v>
          </cell>
          <cell r="U44">
            <v>-10800</v>
          </cell>
          <cell r="V44">
            <v>129</v>
          </cell>
        </row>
        <row r="45">
          <cell r="D45">
            <v>18</v>
          </cell>
          <cell r="P45">
            <v>0</v>
          </cell>
          <cell r="S45">
            <v>29</v>
          </cell>
          <cell r="T45">
            <v>0</v>
          </cell>
          <cell r="U45">
            <v>-324</v>
          </cell>
          <cell r="V45">
            <v>129</v>
          </cell>
        </row>
        <row r="46">
          <cell r="D46">
            <v>450</v>
          </cell>
          <cell r="P46">
            <v>0</v>
          </cell>
          <cell r="S46">
            <v>29</v>
          </cell>
          <cell r="T46">
            <v>0</v>
          </cell>
          <cell r="U46">
            <v>-8100</v>
          </cell>
          <cell r="V46">
            <v>129</v>
          </cell>
        </row>
        <row r="47">
          <cell r="D47">
            <v>600</v>
          </cell>
          <cell r="P47">
            <v>0</v>
          </cell>
          <cell r="S47">
            <v>29</v>
          </cell>
          <cell r="T47">
            <v>0</v>
          </cell>
          <cell r="U47">
            <v>-10800</v>
          </cell>
          <cell r="V47">
            <v>129</v>
          </cell>
        </row>
        <row r="48">
          <cell r="D48">
            <v>180</v>
          </cell>
          <cell r="P48">
            <v>0</v>
          </cell>
          <cell r="S48">
            <v>29</v>
          </cell>
          <cell r="T48">
            <v>0</v>
          </cell>
          <cell r="U48">
            <v>-3240</v>
          </cell>
          <cell r="V48">
            <v>129</v>
          </cell>
        </row>
        <row r="49">
          <cell r="D49">
            <v>30</v>
          </cell>
          <cell r="P49">
            <v>0</v>
          </cell>
          <cell r="S49">
            <v>29</v>
          </cell>
          <cell r="T49">
            <v>0</v>
          </cell>
          <cell r="U49">
            <v>-540</v>
          </cell>
          <cell r="V49">
            <v>129</v>
          </cell>
        </row>
        <row r="50">
          <cell r="D50">
            <v>450</v>
          </cell>
          <cell r="P50">
            <v>0</v>
          </cell>
          <cell r="S50">
            <v>29</v>
          </cell>
          <cell r="T50">
            <v>0</v>
          </cell>
          <cell r="U50">
            <v>-8100</v>
          </cell>
          <cell r="V50">
            <v>129</v>
          </cell>
        </row>
        <row r="51">
          <cell r="D51">
            <v>480</v>
          </cell>
          <cell r="P51">
            <v>0</v>
          </cell>
          <cell r="S51">
            <v>29</v>
          </cell>
          <cell r="T51">
            <v>0</v>
          </cell>
          <cell r="U51">
            <v>-8640</v>
          </cell>
          <cell r="V51">
            <v>129</v>
          </cell>
        </row>
        <row r="52">
          <cell r="D52">
            <v>450</v>
          </cell>
          <cell r="P52">
            <v>0</v>
          </cell>
          <cell r="S52">
            <v>29</v>
          </cell>
          <cell r="T52">
            <v>0</v>
          </cell>
          <cell r="U52">
            <v>-8100</v>
          </cell>
          <cell r="V52">
            <v>129</v>
          </cell>
        </row>
        <row r="53">
          <cell r="D53">
            <v>300</v>
          </cell>
          <cell r="P53">
            <v>0</v>
          </cell>
          <cell r="S53">
            <v>29</v>
          </cell>
          <cell r="T53">
            <v>0</v>
          </cell>
          <cell r="U53">
            <v>-5400</v>
          </cell>
          <cell r="V53">
            <v>129</v>
          </cell>
        </row>
        <row r="54">
          <cell r="D54">
            <v>275.4</v>
          </cell>
          <cell r="P54">
            <v>0</v>
          </cell>
          <cell r="S54">
            <v>29</v>
          </cell>
          <cell r="T54">
            <v>0</v>
          </cell>
          <cell r="U54">
            <v>-4681.799999999999</v>
          </cell>
          <cell r="V54">
            <v>129</v>
          </cell>
        </row>
        <row r="55">
          <cell r="D55">
            <v>232.79</v>
          </cell>
          <cell r="P55">
            <v>0</v>
          </cell>
          <cell r="S55">
            <v>29</v>
          </cell>
          <cell r="T55">
            <v>0</v>
          </cell>
          <cell r="U55">
            <v>-4190.22</v>
          </cell>
          <cell r="V55">
            <v>129</v>
          </cell>
        </row>
        <row r="56">
          <cell r="D56">
            <v>413.51</v>
          </cell>
          <cell r="P56">
            <v>0</v>
          </cell>
          <cell r="S56">
            <v>21</v>
          </cell>
          <cell r="T56">
            <v>0</v>
          </cell>
          <cell r="U56">
            <v>-7856.69</v>
          </cell>
          <cell r="V56">
            <v>121</v>
          </cell>
        </row>
        <row r="57">
          <cell r="D57">
            <v>1668.35</v>
          </cell>
          <cell r="P57">
            <v>0</v>
          </cell>
          <cell r="S57">
            <v>29</v>
          </cell>
          <cell r="T57">
            <v>0</v>
          </cell>
          <cell r="U57">
            <v>-58392.25</v>
          </cell>
          <cell r="V57">
            <v>129</v>
          </cell>
        </row>
        <row r="58">
          <cell r="D58">
            <v>674.09</v>
          </cell>
          <cell r="P58">
            <v>0</v>
          </cell>
          <cell r="S58">
            <v>20</v>
          </cell>
          <cell r="T58">
            <v>0</v>
          </cell>
          <cell r="U58">
            <v>-24941.33</v>
          </cell>
          <cell r="V58">
            <v>120</v>
          </cell>
        </row>
        <row r="59">
          <cell r="D59">
            <v>455.72</v>
          </cell>
          <cell r="P59">
            <v>0</v>
          </cell>
          <cell r="S59">
            <v>29</v>
          </cell>
          <cell r="T59">
            <v>0</v>
          </cell>
          <cell r="U59">
            <v>-18228.800000000003</v>
          </cell>
          <cell r="V59">
            <v>129</v>
          </cell>
        </row>
        <row r="60">
          <cell r="D60">
            <v>692.65</v>
          </cell>
          <cell r="P60">
            <v>0</v>
          </cell>
          <cell r="S60">
            <v>29</v>
          </cell>
          <cell r="T60">
            <v>0</v>
          </cell>
          <cell r="U60">
            <v>-27706</v>
          </cell>
          <cell r="V60">
            <v>129</v>
          </cell>
        </row>
        <row r="61">
          <cell r="D61">
            <v>75.07</v>
          </cell>
          <cell r="P61">
            <v>0</v>
          </cell>
          <cell r="S61">
            <v>29</v>
          </cell>
          <cell r="T61">
            <v>0</v>
          </cell>
          <cell r="U61">
            <v>-2402.24</v>
          </cell>
          <cell r="V61">
            <v>129</v>
          </cell>
        </row>
        <row r="62">
          <cell r="D62">
            <v>458.26</v>
          </cell>
          <cell r="P62">
            <v>0</v>
          </cell>
          <cell r="S62">
            <v>29</v>
          </cell>
          <cell r="T62">
            <v>0</v>
          </cell>
          <cell r="U62">
            <v>-14664.32</v>
          </cell>
          <cell r="V62">
            <v>129</v>
          </cell>
        </row>
        <row r="63">
          <cell r="D63">
            <v>130.37</v>
          </cell>
          <cell r="P63">
            <v>0</v>
          </cell>
          <cell r="S63">
            <v>29</v>
          </cell>
          <cell r="T63">
            <v>0</v>
          </cell>
          <cell r="U63">
            <v>2216.29</v>
          </cell>
          <cell r="V63">
            <v>129</v>
          </cell>
        </row>
        <row r="64">
          <cell r="D64">
            <v>214.54</v>
          </cell>
          <cell r="P64">
            <v>0</v>
          </cell>
          <cell r="S64">
            <v>29</v>
          </cell>
          <cell r="T64">
            <v>0</v>
          </cell>
          <cell r="U64">
            <v>-6865.28</v>
          </cell>
          <cell r="V64">
            <v>129</v>
          </cell>
        </row>
        <row r="65">
          <cell r="D65">
            <v>907.87</v>
          </cell>
          <cell r="P65">
            <v>0</v>
          </cell>
          <cell r="S65">
            <v>29</v>
          </cell>
          <cell r="T65">
            <v>0</v>
          </cell>
          <cell r="U65">
            <v>-29051.84</v>
          </cell>
          <cell r="V65">
            <v>129</v>
          </cell>
        </row>
        <row r="66">
          <cell r="D66">
            <v>72.65</v>
          </cell>
          <cell r="P66">
            <v>0</v>
          </cell>
          <cell r="S66">
            <v>29</v>
          </cell>
          <cell r="T66">
            <v>0</v>
          </cell>
          <cell r="U66">
            <v>-2324.8</v>
          </cell>
          <cell r="V66">
            <v>129</v>
          </cell>
        </row>
        <row r="67">
          <cell r="D67">
            <v>90.53</v>
          </cell>
          <cell r="P67">
            <v>0</v>
          </cell>
          <cell r="S67">
            <v>29</v>
          </cell>
          <cell r="T67">
            <v>0</v>
          </cell>
          <cell r="U67">
            <v>-2896.96</v>
          </cell>
          <cell r="V67">
            <v>129</v>
          </cell>
        </row>
        <row r="68">
          <cell r="D68">
            <v>56.34</v>
          </cell>
          <cell r="P68">
            <v>0</v>
          </cell>
          <cell r="S68">
            <v>22</v>
          </cell>
          <cell r="T68">
            <v>0</v>
          </cell>
          <cell r="U68">
            <v>-676.08</v>
          </cell>
          <cell r="V68">
            <v>122</v>
          </cell>
        </row>
        <row r="69">
          <cell r="D69">
            <v>423.5</v>
          </cell>
          <cell r="P69">
            <v>0</v>
          </cell>
          <cell r="S69">
            <v>22</v>
          </cell>
          <cell r="T69">
            <v>0</v>
          </cell>
          <cell r="U69">
            <v>-12281.5</v>
          </cell>
          <cell r="V69">
            <v>122</v>
          </cell>
        </row>
        <row r="70">
          <cell r="D70">
            <v>228.3</v>
          </cell>
          <cell r="P70">
            <v>0</v>
          </cell>
          <cell r="S70">
            <v>29</v>
          </cell>
          <cell r="T70">
            <v>0</v>
          </cell>
          <cell r="U70">
            <v>-3652.8</v>
          </cell>
          <cell r="V70">
            <v>129</v>
          </cell>
        </row>
        <row r="71">
          <cell r="D71">
            <v>35</v>
          </cell>
          <cell r="P71">
            <v>0</v>
          </cell>
          <cell r="S71">
            <v>22</v>
          </cell>
          <cell r="T71">
            <v>0</v>
          </cell>
          <cell r="U71">
            <v>-560</v>
          </cell>
          <cell r="V71">
            <v>122</v>
          </cell>
        </row>
        <row r="72">
          <cell r="D72">
            <v>674.09</v>
          </cell>
          <cell r="P72">
            <v>0</v>
          </cell>
          <cell r="S72">
            <v>20</v>
          </cell>
          <cell r="T72">
            <v>0</v>
          </cell>
          <cell r="U72">
            <v>-34378.590000000004</v>
          </cell>
          <cell r="V72">
            <v>120</v>
          </cell>
        </row>
        <row r="73">
          <cell r="D73">
            <v>131.42</v>
          </cell>
          <cell r="P73">
            <v>0</v>
          </cell>
          <cell r="S73">
            <v>22</v>
          </cell>
          <cell r="T73">
            <v>0</v>
          </cell>
          <cell r="U73">
            <v>-1577.04</v>
          </cell>
          <cell r="V73">
            <v>122</v>
          </cell>
        </row>
        <row r="74">
          <cell r="D74">
            <v>85.33</v>
          </cell>
          <cell r="P74">
            <v>0</v>
          </cell>
          <cell r="S74">
            <v>22</v>
          </cell>
          <cell r="T74">
            <v>0</v>
          </cell>
          <cell r="U74">
            <v>-853.3</v>
          </cell>
          <cell r="V74">
            <v>122</v>
          </cell>
        </row>
        <row r="75">
          <cell r="D75">
            <v>48.11</v>
          </cell>
          <cell r="P75">
            <v>0</v>
          </cell>
          <cell r="S75">
            <v>22</v>
          </cell>
          <cell r="T75">
            <v>0</v>
          </cell>
          <cell r="U75">
            <v>-577.3199999999999</v>
          </cell>
          <cell r="V75">
            <v>122</v>
          </cell>
        </row>
        <row r="76">
          <cell r="D76">
            <v>42.48</v>
          </cell>
          <cell r="P76">
            <v>0</v>
          </cell>
          <cell r="S76">
            <v>29</v>
          </cell>
          <cell r="T76">
            <v>0</v>
          </cell>
          <cell r="U76">
            <v>-467.28</v>
          </cell>
          <cell r="V76">
            <v>129</v>
          </cell>
        </row>
        <row r="77">
          <cell r="D77">
            <v>435.6</v>
          </cell>
          <cell r="P77">
            <v>0</v>
          </cell>
          <cell r="S77">
            <v>69</v>
          </cell>
          <cell r="T77">
            <v>0</v>
          </cell>
          <cell r="U77">
            <v>10890</v>
          </cell>
          <cell r="V77">
            <v>169</v>
          </cell>
        </row>
        <row r="78">
          <cell r="D78">
            <v>46.42</v>
          </cell>
          <cell r="P78">
            <v>0</v>
          </cell>
          <cell r="S78">
            <v>22</v>
          </cell>
          <cell r="T78">
            <v>0</v>
          </cell>
          <cell r="U78">
            <v>-464.20000000000005</v>
          </cell>
          <cell r="V78">
            <v>122</v>
          </cell>
        </row>
        <row r="79">
          <cell r="D79">
            <v>33.79</v>
          </cell>
          <cell r="P79">
            <v>0</v>
          </cell>
          <cell r="S79">
            <v>29</v>
          </cell>
          <cell r="T79">
            <v>0</v>
          </cell>
          <cell r="U79">
            <v>-506.84999999999997</v>
          </cell>
          <cell r="V79">
            <v>129</v>
          </cell>
        </row>
        <row r="80">
          <cell r="D80">
            <v>286.96</v>
          </cell>
          <cell r="P80">
            <v>0</v>
          </cell>
          <cell r="S80">
            <v>29</v>
          </cell>
          <cell r="T80">
            <v>0</v>
          </cell>
          <cell r="U80">
            <v>-55670.24</v>
          </cell>
          <cell r="V80">
            <v>129</v>
          </cell>
        </row>
        <row r="81">
          <cell r="D81">
            <v>3225.76</v>
          </cell>
          <cell r="P81">
            <v>0</v>
          </cell>
          <cell r="S81">
            <v>29</v>
          </cell>
          <cell r="T81">
            <v>0</v>
          </cell>
          <cell r="U81">
            <v>77418.24</v>
          </cell>
          <cell r="V81">
            <v>129</v>
          </cell>
        </row>
        <row r="82">
          <cell r="D82">
            <v>54.46</v>
          </cell>
          <cell r="P82">
            <v>0</v>
          </cell>
          <cell r="S82">
            <v>29</v>
          </cell>
          <cell r="T82">
            <v>0</v>
          </cell>
          <cell r="U82">
            <v>-816.9</v>
          </cell>
          <cell r="V82">
            <v>129</v>
          </cell>
        </row>
        <row r="83">
          <cell r="D83">
            <v>3657.5</v>
          </cell>
          <cell r="P83">
            <v>0</v>
          </cell>
          <cell r="S83">
            <v>29</v>
          </cell>
          <cell r="T83">
            <v>0</v>
          </cell>
          <cell r="U83">
            <v>-106067.5</v>
          </cell>
          <cell r="V83">
            <v>129</v>
          </cell>
        </row>
        <row r="84">
          <cell r="D84">
            <v>2571.12</v>
          </cell>
          <cell r="P84">
            <v>0</v>
          </cell>
          <cell r="S84">
            <v>29</v>
          </cell>
          <cell r="T84">
            <v>0</v>
          </cell>
          <cell r="U84">
            <v>-25711.199999999997</v>
          </cell>
          <cell r="V84">
            <v>129</v>
          </cell>
        </row>
        <row r="85">
          <cell r="D85">
            <v>216.4</v>
          </cell>
          <cell r="P85">
            <v>0</v>
          </cell>
          <cell r="S85">
            <v>29</v>
          </cell>
          <cell r="T85">
            <v>0</v>
          </cell>
          <cell r="U85">
            <v>-649.2</v>
          </cell>
          <cell r="V85">
            <v>129</v>
          </cell>
        </row>
        <row r="86">
          <cell r="D86">
            <v>105</v>
          </cell>
          <cell r="P86">
            <v>0</v>
          </cell>
          <cell r="S86">
            <v>29</v>
          </cell>
          <cell r="T86">
            <v>0</v>
          </cell>
          <cell r="U86">
            <v>-1050</v>
          </cell>
          <cell r="V86">
            <v>129</v>
          </cell>
        </row>
        <row r="87">
          <cell r="D87">
            <v>2904</v>
          </cell>
          <cell r="P87">
            <v>0</v>
          </cell>
          <cell r="S87">
            <v>29</v>
          </cell>
          <cell r="T87">
            <v>0</v>
          </cell>
          <cell r="U87">
            <v>75504</v>
          </cell>
          <cell r="V87">
            <v>129</v>
          </cell>
        </row>
        <row r="88">
          <cell r="D88">
            <v>151.31</v>
          </cell>
          <cell r="P88">
            <v>0</v>
          </cell>
          <cell r="S88">
            <v>29</v>
          </cell>
          <cell r="T88">
            <v>0</v>
          </cell>
          <cell r="U88">
            <v>-4993.2300000000005</v>
          </cell>
          <cell r="V88">
            <v>129</v>
          </cell>
        </row>
        <row r="89">
          <cell r="D89">
            <v>48.4</v>
          </cell>
          <cell r="P89">
            <v>0</v>
          </cell>
          <cell r="S89">
            <v>21</v>
          </cell>
          <cell r="T89">
            <v>0</v>
          </cell>
          <cell r="U89">
            <v>-2081.2</v>
          </cell>
          <cell r="V89">
            <v>121</v>
          </cell>
        </row>
        <row r="90">
          <cell r="D90">
            <v>332.68</v>
          </cell>
          <cell r="P90">
            <v>0</v>
          </cell>
          <cell r="S90">
            <v>21</v>
          </cell>
          <cell r="T90">
            <v>0</v>
          </cell>
          <cell r="U90">
            <v>-5322.88</v>
          </cell>
          <cell r="V90">
            <v>121</v>
          </cell>
        </row>
        <row r="91">
          <cell r="D91">
            <v>50.99</v>
          </cell>
          <cell r="P91">
            <v>0</v>
          </cell>
          <cell r="S91">
            <v>29</v>
          </cell>
          <cell r="T91">
            <v>0</v>
          </cell>
          <cell r="U91">
            <v>-560.89</v>
          </cell>
          <cell r="V91">
            <v>129</v>
          </cell>
        </row>
        <row r="92">
          <cell r="D92">
            <v>429.55</v>
          </cell>
          <cell r="P92">
            <v>0</v>
          </cell>
          <cell r="S92">
            <v>29</v>
          </cell>
          <cell r="T92">
            <v>0</v>
          </cell>
          <cell r="U92">
            <v>859.1</v>
          </cell>
          <cell r="V92">
            <v>129</v>
          </cell>
        </row>
        <row r="93">
          <cell r="D93">
            <v>30.01</v>
          </cell>
          <cell r="P93">
            <v>0</v>
          </cell>
          <cell r="S93">
            <v>21</v>
          </cell>
          <cell r="T93">
            <v>0</v>
          </cell>
          <cell r="U93">
            <v>-870.2900000000001</v>
          </cell>
          <cell r="V93">
            <v>121</v>
          </cell>
        </row>
        <row r="94">
          <cell r="D94">
            <v>413.29</v>
          </cell>
          <cell r="P94">
            <v>0</v>
          </cell>
          <cell r="S94">
            <v>29</v>
          </cell>
          <cell r="T94">
            <v>0</v>
          </cell>
          <cell r="U94">
            <v>-16531.600000000002</v>
          </cell>
          <cell r="V94">
            <v>129</v>
          </cell>
        </row>
        <row r="95">
          <cell r="D95">
            <v>48.4</v>
          </cell>
          <cell r="P95">
            <v>0</v>
          </cell>
          <cell r="S95">
            <v>21</v>
          </cell>
          <cell r="T95">
            <v>0</v>
          </cell>
          <cell r="U95">
            <v>-1742.3999999999999</v>
          </cell>
          <cell r="V95">
            <v>121</v>
          </cell>
        </row>
        <row r="96">
          <cell r="D96">
            <v>266.2</v>
          </cell>
          <cell r="P96">
            <v>0</v>
          </cell>
          <cell r="S96">
            <v>29</v>
          </cell>
          <cell r="T96">
            <v>0</v>
          </cell>
          <cell r="U96">
            <v>-9849.4</v>
          </cell>
          <cell r="V96">
            <v>129</v>
          </cell>
        </row>
        <row r="97">
          <cell r="D97">
            <v>120.21</v>
          </cell>
          <cell r="P97">
            <v>0</v>
          </cell>
          <cell r="S97">
            <v>29</v>
          </cell>
          <cell r="T97">
            <v>0</v>
          </cell>
          <cell r="U97">
            <v>-3606.2999999999997</v>
          </cell>
          <cell r="V97">
            <v>129</v>
          </cell>
        </row>
        <row r="98">
          <cell r="D98">
            <v>63.4</v>
          </cell>
          <cell r="P98">
            <v>0</v>
          </cell>
          <cell r="S98">
            <v>29</v>
          </cell>
          <cell r="T98">
            <v>0</v>
          </cell>
          <cell r="U98">
            <v>-2028.8</v>
          </cell>
          <cell r="V98">
            <v>129</v>
          </cell>
        </row>
        <row r="99">
          <cell r="D99">
            <v>440.82</v>
          </cell>
          <cell r="P99">
            <v>0</v>
          </cell>
          <cell r="S99">
            <v>21</v>
          </cell>
          <cell r="T99">
            <v>0</v>
          </cell>
          <cell r="U99">
            <v>-13665.42</v>
          </cell>
          <cell r="V99">
            <v>121</v>
          </cell>
        </row>
        <row r="100">
          <cell r="D100">
            <v>106.6</v>
          </cell>
          <cell r="P100">
            <v>0</v>
          </cell>
          <cell r="S100">
            <v>29</v>
          </cell>
          <cell r="T100">
            <v>0</v>
          </cell>
          <cell r="U100">
            <v>-4050.7999999999997</v>
          </cell>
          <cell r="V100">
            <v>129</v>
          </cell>
        </row>
        <row r="101">
          <cell r="D101">
            <v>50.22</v>
          </cell>
          <cell r="P101">
            <v>0</v>
          </cell>
          <cell r="S101">
            <v>21</v>
          </cell>
          <cell r="T101">
            <v>0</v>
          </cell>
          <cell r="U101">
            <v>-1556.82</v>
          </cell>
          <cell r="V101">
            <v>121</v>
          </cell>
        </row>
        <row r="102">
          <cell r="D102">
            <v>50.22</v>
          </cell>
          <cell r="P102">
            <v>0</v>
          </cell>
          <cell r="S102">
            <v>21</v>
          </cell>
          <cell r="T102">
            <v>0</v>
          </cell>
          <cell r="U102">
            <v>-1556.82</v>
          </cell>
          <cell r="V102">
            <v>121</v>
          </cell>
        </row>
        <row r="103">
          <cell r="D103">
            <v>52.19</v>
          </cell>
          <cell r="P103">
            <v>0</v>
          </cell>
          <cell r="S103">
            <v>21</v>
          </cell>
          <cell r="T103">
            <v>0</v>
          </cell>
          <cell r="U103">
            <v>-2766.0699999999997</v>
          </cell>
          <cell r="V103">
            <v>121</v>
          </cell>
        </row>
        <row r="104">
          <cell r="D104">
            <v>483.18</v>
          </cell>
          <cell r="P104">
            <v>0</v>
          </cell>
          <cell r="S104">
            <v>29</v>
          </cell>
          <cell r="T104">
            <v>0</v>
          </cell>
          <cell r="U104">
            <v>-14495.4</v>
          </cell>
          <cell r="V104">
            <v>129</v>
          </cell>
        </row>
        <row r="105">
          <cell r="D105">
            <v>179.22</v>
          </cell>
          <cell r="P105">
            <v>0</v>
          </cell>
          <cell r="S105">
            <v>29</v>
          </cell>
          <cell r="T105">
            <v>0</v>
          </cell>
          <cell r="U105">
            <v>-23836.26</v>
          </cell>
          <cell r="V105">
            <v>129</v>
          </cell>
        </row>
        <row r="106">
          <cell r="D106">
            <v>388.3</v>
          </cell>
          <cell r="P106">
            <v>0</v>
          </cell>
          <cell r="S106">
            <v>29</v>
          </cell>
          <cell r="T106">
            <v>0</v>
          </cell>
          <cell r="U106">
            <v>-7766</v>
          </cell>
          <cell r="V106">
            <v>129</v>
          </cell>
        </row>
        <row r="107">
          <cell r="D107">
            <v>59.3</v>
          </cell>
          <cell r="P107">
            <v>0</v>
          </cell>
          <cell r="S107">
            <v>29</v>
          </cell>
          <cell r="T107">
            <v>0</v>
          </cell>
          <cell r="U107">
            <v>-1897.6</v>
          </cell>
          <cell r="V107">
            <v>129</v>
          </cell>
        </row>
        <row r="108">
          <cell r="D108">
            <v>58.9</v>
          </cell>
          <cell r="P108">
            <v>0</v>
          </cell>
          <cell r="S108">
            <v>29</v>
          </cell>
          <cell r="T108">
            <v>0</v>
          </cell>
          <cell r="U108">
            <v>-1884.8</v>
          </cell>
          <cell r="V108">
            <v>129</v>
          </cell>
        </row>
        <row r="109">
          <cell r="D109">
            <v>30</v>
          </cell>
          <cell r="P109">
            <v>0</v>
          </cell>
          <cell r="S109">
            <v>29</v>
          </cell>
          <cell r="T109">
            <v>0</v>
          </cell>
          <cell r="U109">
            <v>-960</v>
          </cell>
          <cell r="V109">
            <v>129</v>
          </cell>
        </row>
        <row r="110">
          <cell r="D110">
            <v>40</v>
          </cell>
          <cell r="P110">
            <v>0</v>
          </cell>
          <cell r="S110">
            <v>29</v>
          </cell>
          <cell r="T110">
            <v>0</v>
          </cell>
          <cell r="U110">
            <v>-1320</v>
          </cell>
          <cell r="V110">
            <v>129</v>
          </cell>
        </row>
        <row r="111">
          <cell r="D111">
            <v>30</v>
          </cell>
          <cell r="P111">
            <v>0</v>
          </cell>
          <cell r="S111">
            <v>29</v>
          </cell>
          <cell r="T111">
            <v>0</v>
          </cell>
          <cell r="U111">
            <v>-1170</v>
          </cell>
          <cell r="V111">
            <v>129</v>
          </cell>
        </row>
        <row r="112">
          <cell r="D112">
            <v>40</v>
          </cell>
          <cell r="P112">
            <v>0</v>
          </cell>
          <cell r="S112">
            <v>29</v>
          </cell>
          <cell r="T112">
            <v>0</v>
          </cell>
          <cell r="U112">
            <v>-1400</v>
          </cell>
          <cell r="V112">
            <v>129</v>
          </cell>
        </row>
        <row r="113">
          <cell r="D113">
            <v>468.78</v>
          </cell>
          <cell r="P113">
            <v>0</v>
          </cell>
          <cell r="S113">
            <v>29</v>
          </cell>
          <cell r="T113">
            <v>0</v>
          </cell>
          <cell r="U113">
            <v>-18751.199999999997</v>
          </cell>
          <cell r="V113">
            <v>129</v>
          </cell>
        </row>
        <row r="114">
          <cell r="D114">
            <v>443.99</v>
          </cell>
          <cell r="P114">
            <v>0</v>
          </cell>
          <cell r="S114">
            <v>29</v>
          </cell>
          <cell r="T114">
            <v>0</v>
          </cell>
          <cell r="U114">
            <v>-17759.6</v>
          </cell>
          <cell r="V114">
            <v>129</v>
          </cell>
        </row>
        <row r="115">
          <cell r="D115">
            <v>550.84</v>
          </cell>
          <cell r="P115">
            <v>0</v>
          </cell>
          <cell r="S115">
            <v>29</v>
          </cell>
          <cell r="T115">
            <v>0</v>
          </cell>
          <cell r="U115">
            <v>-13220.16</v>
          </cell>
          <cell r="V115">
            <v>129</v>
          </cell>
        </row>
        <row r="116">
          <cell r="D116">
            <v>114.39</v>
          </cell>
          <cell r="P116">
            <v>0</v>
          </cell>
          <cell r="S116">
            <v>22</v>
          </cell>
          <cell r="T116">
            <v>0</v>
          </cell>
          <cell r="U116">
            <v>-2859.75</v>
          </cell>
          <cell r="V116">
            <v>122</v>
          </cell>
        </row>
        <row r="117">
          <cell r="D117">
            <v>101.65</v>
          </cell>
          <cell r="P117">
            <v>0</v>
          </cell>
          <cell r="S117">
            <v>22</v>
          </cell>
          <cell r="T117">
            <v>0</v>
          </cell>
          <cell r="U117">
            <v>-2541.25</v>
          </cell>
          <cell r="V117">
            <v>122</v>
          </cell>
        </row>
        <row r="118">
          <cell r="D118">
            <v>1288.65</v>
          </cell>
          <cell r="P118">
            <v>0</v>
          </cell>
          <cell r="S118">
            <v>21</v>
          </cell>
          <cell r="T118">
            <v>0</v>
          </cell>
          <cell r="U118">
            <v>-12886.5</v>
          </cell>
          <cell r="V118">
            <v>121</v>
          </cell>
        </row>
        <row r="119">
          <cell r="D119">
            <v>245.43</v>
          </cell>
          <cell r="P119">
            <v>0</v>
          </cell>
          <cell r="S119">
            <v>29</v>
          </cell>
          <cell r="T119">
            <v>0</v>
          </cell>
          <cell r="U119">
            <v>-7608.33</v>
          </cell>
          <cell r="V119">
            <v>129</v>
          </cell>
        </row>
        <row r="120">
          <cell r="D120">
            <v>77</v>
          </cell>
          <cell r="P120">
            <v>0</v>
          </cell>
          <cell r="S120">
            <v>29</v>
          </cell>
          <cell r="T120">
            <v>0</v>
          </cell>
          <cell r="U120">
            <v>-2695</v>
          </cell>
          <cell r="V120">
            <v>129</v>
          </cell>
        </row>
        <row r="121">
          <cell r="D121">
            <v>37.09</v>
          </cell>
          <cell r="P121">
            <v>0</v>
          </cell>
          <cell r="S121">
            <v>29</v>
          </cell>
          <cell r="T121">
            <v>0</v>
          </cell>
          <cell r="U121">
            <v>-1594.8700000000001</v>
          </cell>
          <cell r="V121">
            <v>129</v>
          </cell>
        </row>
        <row r="122">
          <cell r="D122">
            <v>246.34</v>
          </cell>
          <cell r="P122">
            <v>0</v>
          </cell>
          <cell r="S122">
            <v>29</v>
          </cell>
          <cell r="T122">
            <v>0</v>
          </cell>
          <cell r="U122">
            <v>-10592.62</v>
          </cell>
          <cell r="V122">
            <v>129</v>
          </cell>
        </row>
        <row r="123">
          <cell r="D123">
            <v>30.86</v>
          </cell>
          <cell r="P123">
            <v>0</v>
          </cell>
          <cell r="S123">
            <v>21</v>
          </cell>
          <cell r="T123">
            <v>0</v>
          </cell>
          <cell r="U123">
            <v>-2314.5</v>
          </cell>
          <cell r="V123">
            <v>121</v>
          </cell>
        </row>
        <row r="124">
          <cell r="D124">
            <v>75.07</v>
          </cell>
          <cell r="P124">
            <v>0</v>
          </cell>
          <cell r="S124">
            <v>29</v>
          </cell>
          <cell r="T124">
            <v>0</v>
          </cell>
          <cell r="U124">
            <v>-9083.47</v>
          </cell>
          <cell r="V124">
            <v>129</v>
          </cell>
        </row>
        <row r="125">
          <cell r="D125">
            <v>72.65</v>
          </cell>
          <cell r="P125">
            <v>0</v>
          </cell>
          <cell r="S125">
            <v>29</v>
          </cell>
          <cell r="T125">
            <v>0</v>
          </cell>
          <cell r="U125">
            <v>-8790.650000000001</v>
          </cell>
          <cell r="V125">
            <v>129</v>
          </cell>
        </row>
        <row r="126">
          <cell r="D126">
            <v>827.51</v>
          </cell>
          <cell r="P126">
            <v>0</v>
          </cell>
          <cell r="S126">
            <v>29</v>
          </cell>
          <cell r="T126">
            <v>0</v>
          </cell>
          <cell r="U126">
            <v>-100128.70999999999</v>
          </cell>
          <cell r="V126">
            <v>129</v>
          </cell>
        </row>
        <row r="127">
          <cell r="D127">
            <v>434.83</v>
          </cell>
          <cell r="P127">
            <v>0</v>
          </cell>
          <cell r="S127">
            <v>29</v>
          </cell>
          <cell r="T127">
            <v>0</v>
          </cell>
          <cell r="U127">
            <v>-52614.43</v>
          </cell>
          <cell r="V127">
            <v>129</v>
          </cell>
        </row>
        <row r="128">
          <cell r="D128">
            <v>281.81</v>
          </cell>
          <cell r="P128">
            <v>0</v>
          </cell>
          <cell r="S128">
            <v>29</v>
          </cell>
          <cell r="T128">
            <v>0</v>
          </cell>
          <cell r="U128">
            <v>-34099.01</v>
          </cell>
          <cell r="V128">
            <v>129</v>
          </cell>
        </row>
        <row r="129">
          <cell r="D129">
            <v>48.4</v>
          </cell>
          <cell r="P129">
            <v>0</v>
          </cell>
          <cell r="S129">
            <v>21</v>
          </cell>
          <cell r="T129">
            <v>0</v>
          </cell>
          <cell r="U129">
            <v>-2081.2</v>
          </cell>
          <cell r="V129">
            <v>121</v>
          </cell>
        </row>
        <row r="130">
          <cell r="D130">
            <v>1904.76</v>
          </cell>
          <cell r="P130">
            <v>0</v>
          </cell>
          <cell r="S130">
            <v>29</v>
          </cell>
          <cell r="T130">
            <v>0</v>
          </cell>
          <cell r="U130">
            <v>-207618.84</v>
          </cell>
          <cell r="V130">
            <v>129</v>
          </cell>
        </row>
        <row r="131">
          <cell r="D131">
            <v>41.16</v>
          </cell>
          <cell r="P131">
            <v>0</v>
          </cell>
          <cell r="S131">
            <v>21</v>
          </cell>
          <cell r="T131">
            <v>0</v>
          </cell>
          <cell r="U131">
            <v>-2181.48</v>
          </cell>
          <cell r="V131">
            <v>121</v>
          </cell>
        </row>
        <row r="132">
          <cell r="D132">
            <v>38.05</v>
          </cell>
          <cell r="P132">
            <v>0</v>
          </cell>
          <cell r="S132">
            <v>29</v>
          </cell>
          <cell r="T132">
            <v>0</v>
          </cell>
          <cell r="U132">
            <v>-646.8499999999999</v>
          </cell>
          <cell r="V132">
            <v>129</v>
          </cell>
        </row>
        <row r="133">
          <cell r="D133">
            <v>280.28</v>
          </cell>
          <cell r="P133">
            <v>0</v>
          </cell>
          <cell r="S133">
            <v>29</v>
          </cell>
          <cell r="T133">
            <v>0</v>
          </cell>
          <cell r="U133">
            <v>-14294.279999999999</v>
          </cell>
          <cell r="V133">
            <v>129</v>
          </cell>
        </row>
        <row r="134">
          <cell r="D134">
            <v>17.4</v>
          </cell>
          <cell r="P134">
            <v>0</v>
          </cell>
          <cell r="S134">
            <v>29</v>
          </cell>
          <cell r="T134">
            <v>0</v>
          </cell>
          <cell r="U134">
            <v>-1478.9999999999998</v>
          </cell>
          <cell r="V134">
            <v>129</v>
          </cell>
        </row>
        <row r="135">
          <cell r="D135">
            <v>17.4</v>
          </cell>
          <cell r="P135">
            <v>0</v>
          </cell>
          <cell r="S135">
            <v>29</v>
          </cell>
          <cell r="T135">
            <v>0</v>
          </cell>
          <cell r="U135">
            <v>-991.8</v>
          </cell>
          <cell r="V135">
            <v>129</v>
          </cell>
        </row>
        <row r="136">
          <cell r="D136">
            <v>63.31</v>
          </cell>
          <cell r="P136">
            <v>0</v>
          </cell>
          <cell r="S136">
            <v>29</v>
          </cell>
          <cell r="T136">
            <v>0</v>
          </cell>
          <cell r="U136">
            <v>-3608.67</v>
          </cell>
          <cell r="V136">
            <v>129</v>
          </cell>
        </row>
        <row r="137">
          <cell r="D137">
            <v>90.29</v>
          </cell>
          <cell r="P137">
            <v>0</v>
          </cell>
          <cell r="S137">
            <v>29</v>
          </cell>
          <cell r="T137">
            <v>0</v>
          </cell>
          <cell r="U137">
            <v>-7674.650000000001</v>
          </cell>
          <cell r="V137">
            <v>129</v>
          </cell>
        </row>
        <row r="138">
          <cell r="D138">
            <v>10.91</v>
          </cell>
          <cell r="P138">
            <v>0</v>
          </cell>
          <cell r="S138">
            <v>29</v>
          </cell>
          <cell r="T138">
            <v>0</v>
          </cell>
          <cell r="U138">
            <v>-938.26</v>
          </cell>
          <cell r="V138">
            <v>129</v>
          </cell>
        </row>
        <row r="139">
          <cell r="D139">
            <v>457.22</v>
          </cell>
          <cell r="P139">
            <v>0</v>
          </cell>
          <cell r="S139">
            <v>29</v>
          </cell>
          <cell r="T139">
            <v>0</v>
          </cell>
          <cell r="U139">
            <v>-16459.920000000002</v>
          </cell>
          <cell r="V139">
            <v>129</v>
          </cell>
        </row>
        <row r="140">
          <cell r="D140">
            <v>127.99</v>
          </cell>
          <cell r="P140">
            <v>0</v>
          </cell>
          <cell r="S140">
            <v>29</v>
          </cell>
          <cell r="T140">
            <v>0</v>
          </cell>
          <cell r="U140">
            <v>-13310.96</v>
          </cell>
          <cell r="V140">
            <v>129</v>
          </cell>
        </row>
        <row r="141">
          <cell r="D141">
            <v>233</v>
          </cell>
          <cell r="P141">
            <v>0</v>
          </cell>
          <cell r="S141">
            <v>29</v>
          </cell>
          <cell r="T141">
            <v>0</v>
          </cell>
          <cell r="U141">
            <v>-17708</v>
          </cell>
          <cell r="V141">
            <v>129</v>
          </cell>
        </row>
        <row r="142">
          <cell r="D142">
            <v>550</v>
          </cell>
          <cell r="P142">
            <v>0</v>
          </cell>
          <cell r="S142">
            <v>29</v>
          </cell>
          <cell r="T142">
            <v>0</v>
          </cell>
          <cell r="U142">
            <v>-31350</v>
          </cell>
          <cell r="V142">
            <v>129</v>
          </cell>
        </row>
        <row r="143">
          <cell r="D143">
            <v>165.72</v>
          </cell>
          <cell r="P143">
            <v>0</v>
          </cell>
          <cell r="S143">
            <v>29</v>
          </cell>
          <cell r="T143">
            <v>0</v>
          </cell>
          <cell r="U143">
            <v>-4805.88</v>
          </cell>
          <cell r="V143">
            <v>129</v>
          </cell>
        </row>
        <row r="144">
          <cell r="D144">
            <v>378.19</v>
          </cell>
          <cell r="P144">
            <v>0</v>
          </cell>
          <cell r="S144">
            <v>29</v>
          </cell>
          <cell r="T144">
            <v>0</v>
          </cell>
          <cell r="U144">
            <v>-12102.08</v>
          </cell>
          <cell r="V144">
            <v>129</v>
          </cell>
        </row>
        <row r="145">
          <cell r="D145">
            <v>421.52</v>
          </cell>
          <cell r="P145">
            <v>0</v>
          </cell>
          <cell r="S145">
            <v>29</v>
          </cell>
          <cell r="T145">
            <v>0</v>
          </cell>
          <cell r="U145">
            <v>-13488.64</v>
          </cell>
          <cell r="V145">
            <v>129</v>
          </cell>
        </row>
        <row r="146">
          <cell r="D146">
            <v>42.4</v>
          </cell>
          <cell r="P146">
            <v>0</v>
          </cell>
          <cell r="S146">
            <v>29</v>
          </cell>
          <cell r="T146">
            <v>0</v>
          </cell>
          <cell r="U146">
            <v>-5172.8</v>
          </cell>
          <cell r="V146">
            <v>129</v>
          </cell>
        </row>
        <row r="147">
          <cell r="D147">
            <v>17.4</v>
          </cell>
          <cell r="P147">
            <v>0</v>
          </cell>
          <cell r="S147">
            <v>29</v>
          </cell>
          <cell r="T147">
            <v>0</v>
          </cell>
          <cell r="U147">
            <v>-2122.7999999999997</v>
          </cell>
          <cell r="V147">
            <v>129</v>
          </cell>
        </row>
        <row r="148">
          <cell r="D148">
            <v>578.74</v>
          </cell>
          <cell r="P148">
            <v>0</v>
          </cell>
          <cell r="S148">
            <v>29</v>
          </cell>
          <cell r="T148">
            <v>0</v>
          </cell>
          <cell r="U148">
            <v>-35303.14</v>
          </cell>
          <cell r="V148">
            <v>129</v>
          </cell>
        </row>
        <row r="149">
          <cell r="D149">
            <v>614.91</v>
          </cell>
          <cell r="P149">
            <v>0</v>
          </cell>
          <cell r="S149">
            <v>29</v>
          </cell>
          <cell r="T149">
            <v>0</v>
          </cell>
          <cell r="U149">
            <v>-30130.59</v>
          </cell>
          <cell r="V149">
            <v>129</v>
          </cell>
        </row>
        <row r="150">
          <cell r="D150">
            <v>962.88</v>
          </cell>
          <cell r="P150">
            <v>0</v>
          </cell>
          <cell r="S150">
            <v>29</v>
          </cell>
          <cell r="T150">
            <v>0</v>
          </cell>
          <cell r="U150">
            <v>-47181.12</v>
          </cell>
          <cell r="V150">
            <v>129</v>
          </cell>
        </row>
        <row r="151">
          <cell r="D151">
            <v>30</v>
          </cell>
          <cell r="P151">
            <v>0</v>
          </cell>
          <cell r="S151">
            <v>29</v>
          </cell>
          <cell r="T151">
            <v>0</v>
          </cell>
          <cell r="U151">
            <v>-1080</v>
          </cell>
          <cell r="V151">
            <v>129</v>
          </cell>
        </row>
        <row r="152">
          <cell r="D152">
            <v>50.22</v>
          </cell>
          <cell r="P152">
            <v>0</v>
          </cell>
          <cell r="S152">
            <v>21</v>
          </cell>
          <cell r="T152">
            <v>0</v>
          </cell>
          <cell r="U152">
            <v>-6980.58</v>
          </cell>
          <cell r="V152">
            <v>121</v>
          </cell>
        </row>
        <row r="153">
          <cell r="D153">
            <v>77</v>
          </cell>
          <cell r="P153">
            <v>0</v>
          </cell>
          <cell r="S153">
            <v>29</v>
          </cell>
          <cell r="T153">
            <v>0</v>
          </cell>
          <cell r="U153">
            <v>-8008</v>
          </cell>
          <cell r="V153">
            <v>129</v>
          </cell>
        </row>
        <row r="154">
          <cell r="D154">
            <v>586.2</v>
          </cell>
          <cell r="P154">
            <v>0</v>
          </cell>
          <cell r="S154">
            <v>29</v>
          </cell>
          <cell r="T154">
            <v>0</v>
          </cell>
          <cell r="U154">
            <v>-33999.600000000006</v>
          </cell>
          <cell r="V154">
            <v>129</v>
          </cell>
        </row>
        <row r="155">
          <cell r="D155">
            <v>56.8</v>
          </cell>
          <cell r="P155">
            <v>0</v>
          </cell>
          <cell r="S155">
            <v>29</v>
          </cell>
          <cell r="T155">
            <v>0</v>
          </cell>
          <cell r="U155">
            <v>-3294.3999999999996</v>
          </cell>
          <cell r="V155">
            <v>129</v>
          </cell>
        </row>
      </sheetData>
      <sheetData sheetId="2">
        <row r="1">
          <cell r="P1" t="str">
            <v>Fin Trim.</v>
          </cell>
        </row>
        <row r="3">
          <cell r="D3" t="str">
            <v>Importe</v>
          </cell>
          <cell r="P3" t="str">
            <v>Plazo
 O
 - fin trim.</v>
          </cell>
          <cell r="S3" t="str">
            <v>Artíc.</v>
          </cell>
          <cell r="T3" t="str">
            <v>ponderación 1</v>
          </cell>
          <cell r="U3" t="str">
            <v>ponderación 2</v>
          </cell>
          <cell r="V3" t="str">
            <v>En plazo</v>
          </cell>
        </row>
      </sheetData>
      <sheetData sheetId="3">
        <row r="2">
          <cell r="D2" t="str">
            <v>obligatorias</v>
          </cell>
        </row>
        <row r="3">
          <cell r="D3" t="str">
            <v>optativas</v>
          </cell>
        </row>
        <row r="5">
          <cell r="D5" t="str">
            <v>Importe</v>
          </cell>
          <cell r="O5" t="str">
            <v>Plazo
 R-fin trim</v>
          </cell>
          <cell r="R5" t="str">
            <v>ponderación 1</v>
          </cell>
          <cell r="S5" t="str">
            <v>ponderación 2</v>
          </cell>
          <cell r="T5" t="str">
            <v>En plazo</v>
          </cell>
        </row>
        <row r="6">
          <cell r="D6">
            <v>1926.09</v>
          </cell>
          <cell r="O6">
            <v>20</v>
          </cell>
          <cell r="R6">
            <v>38521.799999999996</v>
          </cell>
          <cell r="S6">
            <v>-19260.899999999998</v>
          </cell>
        </row>
        <row r="7">
          <cell r="D7">
            <v>85.67</v>
          </cell>
          <cell r="O7">
            <v>22</v>
          </cell>
          <cell r="R7">
            <v>1884.74</v>
          </cell>
          <cell r="S7">
            <v>-685.36</v>
          </cell>
        </row>
        <row r="8">
          <cell r="D8">
            <v>183.92</v>
          </cell>
          <cell r="O8">
            <v>-1</v>
          </cell>
          <cell r="R8">
            <v>-183.92</v>
          </cell>
          <cell r="S8">
            <v>-5701.5199999999995</v>
          </cell>
        </row>
        <row r="9">
          <cell r="D9">
            <v>155.18</v>
          </cell>
          <cell r="O9">
            <v>-1</v>
          </cell>
          <cell r="R9">
            <v>-155.18</v>
          </cell>
          <cell r="S9">
            <v>-4810.58</v>
          </cell>
        </row>
        <row r="10">
          <cell r="D10">
            <v>185.42</v>
          </cell>
          <cell r="O10">
            <v>20</v>
          </cell>
          <cell r="R10">
            <v>3708.3999999999996</v>
          </cell>
          <cell r="S10">
            <v>-1854.1999999999998</v>
          </cell>
        </row>
        <row r="11">
          <cell r="D11">
            <v>778.9</v>
          </cell>
          <cell r="O11">
            <v>47</v>
          </cell>
          <cell r="R11">
            <v>36608.299999999996</v>
          </cell>
          <cell r="S11">
            <v>13241.3</v>
          </cell>
        </row>
        <row r="12">
          <cell r="D12">
            <v>836.4</v>
          </cell>
          <cell r="O12">
            <v>-9</v>
          </cell>
          <cell r="R12">
            <v>-7527.599999999999</v>
          </cell>
          <cell r="S12">
            <v>-32619.6</v>
          </cell>
        </row>
        <row r="13">
          <cell r="D13">
            <v>247.6</v>
          </cell>
          <cell r="O13">
            <v>1</v>
          </cell>
          <cell r="R13">
            <v>247.6</v>
          </cell>
          <cell r="S13">
            <v>-7180.4</v>
          </cell>
        </row>
        <row r="14">
          <cell r="D14">
            <v>5</v>
          </cell>
          <cell r="O14">
            <v>1</v>
          </cell>
          <cell r="R14">
            <v>5</v>
          </cell>
          <cell r="S14">
            <v>-145</v>
          </cell>
        </row>
        <row r="15">
          <cell r="D15">
            <v>9.8</v>
          </cell>
          <cell r="O15">
            <v>6</v>
          </cell>
          <cell r="R15">
            <v>58.800000000000004</v>
          </cell>
          <cell r="S15">
            <v>-235.20000000000002</v>
          </cell>
        </row>
        <row r="16">
          <cell r="D16">
            <v>136.75</v>
          </cell>
          <cell r="O16">
            <v>-16</v>
          </cell>
          <cell r="R16">
            <v>-2188</v>
          </cell>
          <cell r="S16">
            <v>-6290.5</v>
          </cell>
        </row>
        <row r="17">
          <cell r="D17">
            <v>126.22</v>
          </cell>
          <cell r="O17">
            <v>-15</v>
          </cell>
          <cell r="R17">
            <v>-1893.3</v>
          </cell>
          <cell r="S17">
            <v>-5679.9</v>
          </cell>
        </row>
        <row r="18">
          <cell r="D18">
            <v>199.65</v>
          </cell>
          <cell r="O18">
            <v>-15</v>
          </cell>
          <cell r="R18">
            <v>-2994.75</v>
          </cell>
          <cell r="S18">
            <v>-8984.25</v>
          </cell>
        </row>
        <row r="19">
          <cell r="D19">
            <v>227.76</v>
          </cell>
          <cell r="O19">
            <v>-15</v>
          </cell>
          <cell r="R19">
            <v>-3416.3999999999996</v>
          </cell>
          <cell r="S19">
            <v>-10249.199999999999</v>
          </cell>
        </row>
        <row r="20">
          <cell r="D20">
            <v>1668.35</v>
          </cell>
          <cell r="O20">
            <v>-15</v>
          </cell>
          <cell r="R20">
            <v>-25025.25</v>
          </cell>
          <cell r="S20">
            <v>-75075.75</v>
          </cell>
        </row>
        <row r="21">
          <cell r="D21">
            <v>199.03</v>
          </cell>
          <cell r="O21">
            <v>-9</v>
          </cell>
          <cell r="R21">
            <v>-1791.27</v>
          </cell>
          <cell r="S21">
            <v>-7762.17</v>
          </cell>
        </row>
        <row r="22">
          <cell r="D22">
            <v>346.85</v>
          </cell>
          <cell r="O22">
            <v>-9</v>
          </cell>
          <cell r="R22">
            <v>-3121.65</v>
          </cell>
          <cell r="S22">
            <v>-13527.150000000001</v>
          </cell>
        </row>
        <row r="23">
          <cell r="D23">
            <v>97.38</v>
          </cell>
          <cell r="O23">
            <v>-14</v>
          </cell>
          <cell r="R23">
            <v>-1363.32</v>
          </cell>
          <cell r="S23">
            <v>-4284.719999999999</v>
          </cell>
        </row>
        <row r="24">
          <cell r="D24">
            <v>429.55</v>
          </cell>
          <cell r="O24">
            <v>-15</v>
          </cell>
          <cell r="R24">
            <v>-6443.25</v>
          </cell>
          <cell r="S24">
            <v>-19329.75</v>
          </cell>
        </row>
        <row r="25">
          <cell r="D25">
            <v>48.53</v>
          </cell>
          <cell r="O25">
            <v>-17</v>
          </cell>
          <cell r="R25">
            <v>-825.01</v>
          </cell>
          <cell r="S25">
            <v>-2280.91</v>
          </cell>
        </row>
        <row r="26">
          <cell r="D26">
            <v>600</v>
          </cell>
          <cell r="O26">
            <v>-20</v>
          </cell>
          <cell r="R26">
            <v>-12000</v>
          </cell>
          <cell r="S26">
            <v>-30000</v>
          </cell>
        </row>
        <row r="27">
          <cell r="D27">
            <v>553.43</v>
          </cell>
          <cell r="O27">
            <v>-15</v>
          </cell>
          <cell r="R27">
            <v>-8301.449999999999</v>
          </cell>
          <cell r="S27">
            <v>-24904.35</v>
          </cell>
        </row>
        <row r="28">
          <cell r="D28">
            <v>17.65</v>
          </cell>
          <cell r="O28">
            <v>-15</v>
          </cell>
          <cell r="R28">
            <v>-264.75</v>
          </cell>
          <cell r="S28">
            <v>-794.2499999999999</v>
          </cell>
        </row>
        <row r="29">
          <cell r="D29">
            <v>36.3</v>
          </cell>
          <cell r="O29">
            <v>-15</v>
          </cell>
          <cell r="R29">
            <v>-544.5</v>
          </cell>
          <cell r="S29">
            <v>-1633.4999999999998</v>
          </cell>
        </row>
        <row r="30">
          <cell r="D30">
            <v>54.21</v>
          </cell>
          <cell r="O30">
            <v>-15</v>
          </cell>
          <cell r="R30">
            <v>-813.15</v>
          </cell>
          <cell r="S30">
            <v>-2439.45</v>
          </cell>
        </row>
        <row r="31">
          <cell r="D31">
            <v>620.89</v>
          </cell>
          <cell r="O31">
            <v>-13</v>
          </cell>
          <cell r="R31">
            <v>-8071.57</v>
          </cell>
          <cell r="S31">
            <v>-26698.27</v>
          </cell>
        </row>
        <row r="32">
          <cell r="D32">
            <v>45.06</v>
          </cell>
          <cell r="O32">
            <v>56</v>
          </cell>
          <cell r="R32">
            <v>2523.36</v>
          </cell>
          <cell r="S32">
            <v>1171.56</v>
          </cell>
        </row>
        <row r="33">
          <cell r="D33">
            <v>200.97</v>
          </cell>
          <cell r="O33">
            <v>-17</v>
          </cell>
          <cell r="R33">
            <v>-3416.49</v>
          </cell>
          <cell r="S33">
            <v>-9445.59</v>
          </cell>
        </row>
        <row r="34">
          <cell r="D34">
            <v>387.2</v>
          </cell>
          <cell r="O34">
            <v>-1</v>
          </cell>
          <cell r="R34">
            <v>-387.2</v>
          </cell>
          <cell r="S34">
            <v>-12003.199999999999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OSTENA"/>
      <sheetName val="xehet1"/>
      <sheetName val="xehet2"/>
      <sheetName val="xehet32"/>
    </sheetNames>
    <sheetDataSet>
      <sheetData sheetId="1">
        <row r="2">
          <cell r="D2" t="str">
            <v>hautazkoak</v>
          </cell>
        </row>
        <row r="3">
          <cell r="D3" t="str">
            <v>betebeharrekoak</v>
          </cell>
        </row>
        <row r="5">
          <cell r="D5" t="str">
            <v>Zenbatekoa</v>
          </cell>
          <cell r="P5" t="str">
            <v>Epea
 O-P</v>
          </cell>
          <cell r="S5" t="str">
            <v>Artik</v>
          </cell>
          <cell r="T5" t="str">
            <v>ponderazioa 1</v>
          </cell>
          <cell r="U5" t="str">
            <v>ponderazioa 2</v>
          </cell>
          <cell r="V5" t="str">
            <v>Epean</v>
          </cell>
        </row>
        <row r="6">
          <cell r="D6">
            <v>3960</v>
          </cell>
          <cell r="P6">
            <v>0</v>
          </cell>
          <cell r="S6">
            <v>29</v>
          </cell>
          <cell r="T6">
            <v>0</v>
          </cell>
          <cell r="U6">
            <v>-110880</v>
          </cell>
          <cell r="V6">
            <v>129</v>
          </cell>
        </row>
        <row r="7">
          <cell r="D7">
            <v>3960</v>
          </cell>
          <cell r="P7">
            <v>0</v>
          </cell>
          <cell r="S7">
            <v>29</v>
          </cell>
          <cell r="T7">
            <v>0</v>
          </cell>
          <cell r="U7">
            <v>-7920</v>
          </cell>
          <cell r="V7">
            <v>129</v>
          </cell>
        </row>
        <row r="8">
          <cell r="D8">
            <v>3960</v>
          </cell>
          <cell r="P8">
            <v>0</v>
          </cell>
          <cell r="S8">
            <v>29</v>
          </cell>
          <cell r="T8">
            <v>0</v>
          </cell>
          <cell r="U8">
            <v>102960</v>
          </cell>
          <cell r="V8">
            <v>129</v>
          </cell>
        </row>
        <row r="9">
          <cell r="D9">
            <v>3420</v>
          </cell>
          <cell r="P9">
            <v>0</v>
          </cell>
          <cell r="S9">
            <v>29</v>
          </cell>
          <cell r="T9">
            <v>0</v>
          </cell>
          <cell r="U9">
            <v>-41040</v>
          </cell>
          <cell r="V9">
            <v>129</v>
          </cell>
        </row>
        <row r="10">
          <cell r="D10">
            <v>52</v>
          </cell>
          <cell r="P10">
            <v>0</v>
          </cell>
          <cell r="S10">
            <v>29</v>
          </cell>
          <cell r="T10">
            <v>0</v>
          </cell>
          <cell r="U10">
            <v>-1508</v>
          </cell>
          <cell r="V10">
            <v>129</v>
          </cell>
        </row>
        <row r="11">
          <cell r="D11">
            <v>3420</v>
          </cell>
          <cell r="P11">
            <v>0</v>
          </cell>
          <cell r="S11">
            <v>29</v>
          </cell>
          <cell r="T11">
            <v>0</v>
          </cell>
          <cell r="U11">
            <v>-102600</v>
          </cell>
          <cell r="V11">
            <v>129</v>
          </cell>
        </row>
        <row r="12">
          <cell r="D12">
            <v>27104</v>
          </cell>
          <cell r="P12">
            <v>0</v>
          </cell>
          <cell r="S12">
            <v>29</v>
          </cell>
          <cell r="T12">
            <v>0</v>
          </cell>
          <cell r="U12">
            <v>-786016</v>
          </cell>
          <cell r="V12">
            <v>129</v>
          </cell>
        </row>
        <row r="13">
          <cell r="D13">
            <v>3420</v>
          </cell>
          <cell r="P13">
            <v>0</v>
          </cell>
          <cell r="S13">
            <v>29</v>
          </cell>
          <cell r="T13">
            <v>0</v>
          </cell>
          <cell r="U13">
            <v>6840</v>
          </cell>
          <cell r="V13">
            <v>129</v>
          </cell>
        </row>
        <row r="14">
          <cell r="D14">
            <v>508.33</v>
          </cell>
          <cell r="P14">
            <v>0</v>
          </cell>
          <cell r="S14">
            <v>29</v>
          </cell>
          <cell r="T14">
            <v>0</v>
          </cell>
          <cell r="U14">
            <v>-19316.54</v>
          </cell>
          <cell r="V14">
            <v>129</v>
          </cell>
        </row>
        <row r="15">
          <cell r="D15">
            <v>480.71</v>
          </cell>
          <cell r="P15">
            <v>0</v>
          </cell>
          <cell r="S15">
            <v>29</v>
          </cell>
          <cell r="T15">
            <v>0</v>
          </cell>
          <cell r="U15">
            <v>-24035.5</v>
          </cell>
          <cell r="V15">
            <v>129</v>
          </cell>
        </row>
        <row r="16">
          <cell r="D16">
            <v>77</v>
          </cell>
          <cell r="P16">
            <v>0</v>
          </cell>
          <cell r="S16">
            <v>29</v>
          </cell>
          <cell r="T16">
            <v>0</v>
          </cell>
          <cell r="U16">
            <v>-2695</v>
          </cell>
          <cell r="V16">
            <v>129</v>
          </cell>
        </row>
        <row r="17">
          <cell r="D17">
            <v>8344.38</v>
          </cell>
          <cell r="P17">
            <v>0</v>
          </cell>
          <cell r="S17">
            <v>29</v>
          </cell>
          <cell r="T17">
            <v>0</v>
          </cell>
          <cell r="U17">
            <v>-342119.57999999996</v>
          </cell>
          <cell r="V17">
            <v>129</v>
          </cell>
        </row>
        <row r="18">
          <cell r="D18">
            <v>1668.35</v>
          </cell>
          <cell r="P18">
            <v>0</v>
          </cell>
          <cell r="S18">
            <v>29</v>
          </cell>
          <cell r="T18">
            <v>0</v>
          </cell>
          <cell r="U18">
            <v>-60060.6</v>
          </cell>
          <cell r="V18">
            <v>129</v>
          </cell>
        </row>
        <row r="19">
          <cell r="D19">
            <v>674.09</v>
          </cell>
          <cell r="P19">
            <v>0</v>
          </cell>
          <cell r="S19">
            <v>20</v>
          </cell>
          <cell r="T19">
            <v>0</v>
          </cell>
          <cell r="U19">
            <v>-24267.24</v>
          </cell>
          <cell r="V19">
            <v>120</v>
          </cell>
        </row>
        <row r="20">
          <cell r="D20">
            <v>364.63</v>
          </cell>
          <cell r="P20">
            <v>0</v>
          </cell>
          <cell r="S20">
            <v>29</v>
          </cell>
          <cell r="T20">
            <v>0</v>
          </cell>
          <cell r="U20">
            <v>-13855.94</v>
          </cell>
          <cell r="V20">
            <v>129</v>
          </cell>
        </row>
        <row r="21">
          <cell r="D21">
            <v>495.65</v>
          </cell>
          <cell r="P21">
            <v>0</v>
          </cell>
          <cell r="S21">
            <v>29</v>
          </cell>
          <cell r="T21">
            <v>0</v>
          </cell>
          <cell r="U21">
            <v>-24782.5</v>
          </cell>
          <cell r="V21">
            <v>129</v>
          </cell>
        </row>
        <row r="22">
          <cell r="D22">
            <v>845.22</v>
          </cell>
          <cell r="P22">
            <v>0</v>
          </cell>
          <cell r="S22">
            <v>29</v>
          </cell>
          <cell r="T22">
            <v>0</v>
          </cell>
          <cell r="U22">
            <v>-42261</v>
          </cell>
          <cell r="V22">
            <v>129</v>
          </cell>
        </row>
        <row r="23">
          <cell r="D23">
            <v>63.38</v>
          </cell>
          <cell r="P23">
            <v>0</v>
          </cell>
          <cell r="S23">
            <v>21</v>
          </cell>
          <cell r="T23">
            <v>0</v>
          </cell>
          <cell r="U23">
            <v>-380.28000000000003</v>
          </cell>
          <cell r="V23">
            <v>121</v>
          </cell>
        </row>
        <row r="24">
          <cell r="D24">
            <v>126</v>
          </cell>
          <cell r="P24">
            <v>0</v>
          </cell>
          <cell r="S24">
            <v>29</v>
          </cell>
          <cell r="T24">
            <v>0</v>
          </cell>
          <cell r="U24">
            <v>-1260</v>
          </cell>
          <cell r="V24">
            <v>129</v>
          </cell>
        </row>
        <row r="25">
          <cell r="D25">
            <v>138.05</v>
          </cell>
          <cell r="P25">
            <v>0</v>
          </cell>
          <cell r="S25">
            <v>29</v>
          </cell>
          <cell r="T25">
            <v>0</v>
          </cell>
          <cell r="U25">
            <v>-3865.4000000000005</v>
          </cell>
          <cell r="V25">
            <v>129</v>
          </cell>
        </row>
        <row r="26">
          <cell r="D26">
            <v>847.33</v>
          </cell>
          <cell r="P26">
            <v>0</v>
          </cell>
          <cell r="S26">
            <v>22</v>
          </cell>
          <cell r="T26">
            <v>0</v>
          </cell>
          <cell r="U26">
            <v>16946.600000000002</v>
          </cell>
          <cell r="V26">
            <v>122</v>
          </cell>
        </row>
        <row r="27">
          <cell r="D27">
            <v>1185.8</v>
          </cell>
          <cell r="P27">
            <v>0</v>
          </cell>
          <cell r="S27">
            <v>21</v>
          </cell>
          <cell r="T27">
            <v>0</v>
          </cell>
          <cell r="U27">
            <v>-15415.4</v>
          </cell>
          <cell r="V27">
            <v>121</v>
          </cell>
        </row>
        <row r="28">
          <cell r="D28">
            <v>694.06</v>
          </cell>
          <cell r="P28">
            <v>0</v>
          </cell>
          <cell r="S28">
            <v>29</v>
          </cell>
          <cell r="T28">
            <v>0</v>
          </cell>
          <cell r="U28">
            <v>-17351.5</v>
          </cell>
          <cell r="V28">
            <v>129</v>
          </cell>
        </row>
        <row r="29">
          <cell r="D29">
            <v>589.56</v>
          </cell>
          <cell r="P29">
            <v>0</v>
          </cell>
          <cell r="S29">
            <v>29</v>
          </cell>
          <cell r="T29">
            <v>0</v>
          </cell>
          <cell r="U29">
            <v>-14738.999999999998</v>
          </cell>
          <cell r="V29">
            <v>129</v>
          </cell>
        </row>
        <row r="30">
          <cell r="D30">
            <v>88.75</v>
          </cell>
          <cell r="P30">
            <v>0</v>
          </cell>
          <cell r="S30">
            <v>29</v>
          </cell>
          <cell r="T30">
            <v>0</v>
          </cell>
          <cell r="U30">
            <v>-2218.75</v>
          </cell>
          <cell r="V30">
            <v>129</v>
          </cell>
        </row>
        <row r="31">
          <cell r="D31">
            <v>238.55</v>
          </cell>
          <cell r="P31">
            <v>0</v>
          </cell>
          <cell r="S31">
            <v>29</v>
          </cell>
          <cell r="T31">
            <v>0</v>
          </cell>
          <cell r="U31">
            <v>-5963.75</v>
          </cell>
          <cell r="V31">
            <v>129</v>
          </cell>
        </row>
        <row r="32">
          <cell r="D32">
            <v>429.55</v>
          </cell>
          <cell r="P32">
            <v>0</v>
          </cell>
          <cell r="S32">
            <v>29</v>
          </cell>
          <cell r="T32">
            <v>0</v>
          </cell>
          <cell r="U32">
            <v>-24054.8</v>
          </cell>
          <cell r="V32">
            <v>129</v>
          </cell>
        </row>
        <row r="33">
          <cell r="D33">
            <v>477.57</v>
          </cell>
          <cell r="P33">
            <v>0</v>
          </cell>
          <cell r="S33">
            <v>29</v>
          </cell>
          <cell r="T33">
            <v>0</v>
          </cell>
          <cell r="U33">
            <v>-16714.95</v>
          </cell>
          <cell r="V33">
            <v>129</v>
          </cell>
        </row>
        <row r="34">
          <cell r="D34">
            <v>977.27</v>
          </cell>
          <cell r="P34">
            <v>0</v>
          </cell>
          <cell r="S34">
            <v>29</v>
          </cell>
          <cell r="T34">
            <v>0</v>
          </cell>
          <cell r="U34">
            <v>-32249.91</v>
          </cell>
          <cell r="V34">
            <v>129</v>
          </cell>
        </row>
        <row r="35">
          <cell r="D35">
            <v>72.65</v>
          </cell>
          <cell r="P35">
            <v>0</v>
          </cell>
          <cell r="S35">
            <v>29</v>
          </cell>
          <cell r="T35">
            <v>0</v>
          </cell>
          <cell r="U35">
            <v>-2397.4500000000003</v>
          </cell>
          <cell r="V35">
            <v>129</v>
          </cell>
        </row>
        <row r="36">
          <cell r="D36">
            <v>75.07</v>
          </cell>
          <cell r="P36">
            <v>0</v>
          </cell>
          <cell r="S36">
            <v>29</v>
          </cell>
          <cell r="T36">
            <v>0</v>
          </cell>
          <cell r="U36">
            <v>-2477.31</v>
          </cell>
          <cell r="V36">
            <v>129</v>
          </cell>
        </row>
        <row r="37">
          <cell r="D37">
            <v>1827.1</v>
          </cell>
          <cell r="P37">
            <v>0</v>
          </cell>
          <cell r="S37">
            <v>29</v>
          </cell>
          <cell r="T37">
            <v>0</v>
          </cell>
          <cell r="U37">
            <v>-42023.299999999996</v>
          </cell>
          <cell r="V37">
            <v>129</v>
          </cell>
        </row>
        <row r="38">
          <cell r="D38">
            <v>1350.36</v>
          </cell>
          <cell r="P38">
            <v>0</v>
          </cell>
          <cell r="S38">
            <v>69</v>
          </cell>
          <cell r="T38">
            <v>0</v>
          </cell>
          <cell r="U38">
            <v>-24306.48</v>
          </cell>
          <cell r="V38">
            <v>169</v>
          </cell>
        </row>
        <row r="39">
          <cell r="D39">
            <v>527.56</v>
          </cell>
          <cell r="P39">
            <v>0</v>
          </cell>
          <cell r="S39">
            <v>69</v>
          </cell>
          <cell r="T39">
            <v>0</v>
          </cell>
          <cell r="U39">
            <v>-9496.079999999998</v>
          </cell>
          <cell r="V39">
            <v>169</v>
          </cell>
        </row>
        <row r="40">
          <cell r="D40">
            <v>224.47</v>
          </cell>
          <cell r="P40">
            <v>0</v>
          </cell>
          <cell r="S40">
            <v>21</v>
          </cell>
          <cell r="T40">
            <v>0</v>
          </cell>
          <cell r="U40">
            <v>-4040.46</v>
          </cell>
          <cell r="V40">
            <v>121</v>
          </cell>
        </row>
        <row r="41">
          <cell r="D41">
            <v>64.9</v>
          </cell>
          <cell r="P41">
            <v>0</v>
          </cell>
          <cell r="S41">
            <v>29</v>
          </cell>
          <cell r="T41">
            <v>0</v>
          </cell>
          <cell r="U41">
            <v>-649</v>
          </cell>
          <cell r="V41">
            <v>129</v>
          </cell>
        </row>
        <row r="42">
          <cell r="D42">
            <v>320.65</v>
          </cell>
          <cell r="P42">
            <v>0</v>
          </cell>
          <cell r="S42">
            <v>29</v>
          </cell>
          <cell r="T42">
            <v>0</v>
          </cell>
          <cell r="U42">
            <v>-4489.099999999999</v>
          </cell>
          <cell r="V42">
            <v>129</v>
          </cell>
        </row>
        <row r="43">
          <cell r="D43">
            <v>360</v>
          </cell>
          <cell r="P43">
            <v>0</v>
          </cell>
          <cell r="S43">
            <v>29</v>
          </cell>
          <cell r="T43">
            <v>0</v>
          </cell>
          <cell r="U43">
            <v>-6480</v>
          </cell>
          <cell r="V43">
            <v>129</v>
          </cell>
        </row>
        <row r="44">
          <cell r="D44">
            <v>600</v>
          </cell>
          <cell r="P44">
            <v>0</v>
          </cell>
          <cell r="S44">
            <v>29</v>
          </cell>
          <cell r="T44">
            <v>0</v>
          </cell>
          <cell r="U44">
            <v>-10800</v>
          </cell>
          <cell r="V44">
            <v>129</v>
          </cell>
        </row>
        <row r="45">
          <cell r="D45">
            <v>18</v>
          </cell>
          <cell r="P45">
            <v>0</v>
          </cell>
          <cell r="S45">
            <v>29</v>
          </cell>
          <cell r="T45">
            <v>0</v>
          </cell>
          <cell r="U45">
            <v>-324</v>
          </cell>
          <cell r="V45">
            <v>129</v>
          </cell>
        </row>
        <row r="46">
          <cell r="D46">
            <v>450</v>
          </cell>
          <cell r="P46">
            <v>0</v>
          </cell>
          <cell r="S46">
            <v>29</v>
          </cell>
          <cell r="T46">
            <v>0</v>
          </cell>
          <cell r="U46">
            <v>-8100</v>
          </cell>
          <cell r="V46">
            <v>129</v>
          </cell>
        </row>
        <row r="47">
          <cell r="D47">
            <v>600</v>
          </cell>
          <cell r="P47">
            <v>0</v>
          </cell>
          <cell r="S47">
            <v>29</v>
          </cell>
          <cell r="T47">
            <v>0</v>
          </cell>
          <cell r="U47">
            <v>-10800</v>
          </cell>
          <cell r="V47">
            <v>129</v>
          </cell>
        </row>
        <row r="48">
          <cell r="D48">
            <v>180</v>
          </cell>
          <cell r="P48">
            <v>0</v>
          </cell>
          <cell r="S48">
            <v>29</v>
          </cell>
          <cell r="T48">
            <v>0</v>
          </cell>
          <cell r="U48">
            <v>-3240</v>
          </cell>
          <cell r="V48">
            <v>129</v>
          </cell>
        </row>
        <row r="49">
          <cell r="D49">
            <v>30</v>
          </cell>
          <cell r="P49">
            <v>0</v>
          </cell>
          <cell r="S49">
            <v>29</v>
          </cell>
          <cell r="T49">
            <v>0</v>
          </cell>
          <cell r="U49">
            <v>-540</v>
          </cell>
          <cell r="V49">
            <v>129</v>
          </cell>
        </row>
        <row r="50">
          <cell r="D50">
            <v>450</v>
          </cell>
          <cell r="P50">
            <v>0</v>
          </cell>
          <cell r="S50">
            <v>29</v>
          </cell>
          <cell r="T50">
            <v>0</v>
          </cell>
          <cell r="U50">
            <v>-8100</v>
          </cell>
          <cell r="V50">
            <v>129</v>
          </cell>
        </row>
        <row r="51">
          <cell r="D51">
            <v>480</v>
          </cell>
          <cell r="P51">
            <v>0</v>
          </cell>
          <cell r="S51">
            <v>29</v>
          </cell>
          <cell r="T51">
            <v>0</v>
          </cell>
          <cell r="U51">
            <v>-8640</v>
          </cell>
          <cell r="V51">
            <v>129</v>
          </cell>
        </row>
        <row r="52">
          <cell r="D52">
            <v>450</v>
          </cell>
          <cell r="P52">
            <v>0</v>
          </cell>
          <cell r="S52">
            <v>29</v>
          </cell>
          <cell r="T52">
            <v>0</v>
          </cell>
          <cell r="U52">
            <v>-8100</v>
          </cell>
          <cell r="V52">
            <v>129</v>
          </cell>
        </row>
        <row r="53">
          <cell r="D53">
            <v>300</v>
          </cell>
          <cell r="P53">
            <v>0</v>
          </cell>
          <cell r="S53">
            <v>29</v>
          </cell>
          <cell r="T53">
            <v>0</v>
          </cell>
          <cell r="U53">
            <v>-5400</v>
          </cell>
          <cell r="V53">
            <v>129</v>
          </cell>
        </row>
        <row r="54">
          <cell r="D54">
            <v>275.4</v>
          </cell>
          <cell r="P54">
            <v>0</v>
          </cell>
          <cell r="S54">
            <v>29</v>
          </cell>
          <cell r="T54">
            <v>0</v>
          </cell>
          <cell r="U54">
            <v>-4681.799999999999</v>
          </cell>
          <cell r="V54">
            <v>129</v>
          </cell>
        </row>
        <row r="55">
          <cell r="D55">
            <v>232.79</v>
          </cell>
          <cell r="P55">
            <v>0</v>
          </cell>
          <cell r="S55">
            <v>29</v>
          </cell>
          <cell r="T55">
            <v>0</v>
          </cell>
          <cell r="U55">
            <v>-4190.22</v>
          </cell>
          <cell r="V55">
            <v>129</v>
          </cell>
        </row>
        <row r="56">
          <cell r="D56">
            <v>413.51</v>
          </cell>
          <cell r="P56">
            <v>0</v>
          </cell>
          <cell r="S56">
            <v>21</v>
          </cell>
          <cell r="T56">
            <v>0</v>
          </cell>
          <cell r="U56">
            <v>-7856.69</v>
          </cell>
          <cell r="V56">
            <v>121</v>
          </cell>
        </row>
        <row r="57">
          <cell r="D57">
            <v>1668.35</v>
          </cell>
          <cell r="P57">
            <v>0</v>
          </cell>
          <cell r="S57">
            <v>29</v>
          </cell>
          <cell r="T57">
            <v>0</v>
          </cell>
          <cell r="U57">
            <v>-58392.25</v>
          </cell>
          <cell r="V57">
            <v>129</v>
          </cell>
        </row>
        <row r="58">
          <cell r="D58">
            <v>674.09</v>
          </cell>
          <cell r="P58">
            <v>0</v>
          </cell>
          <cell r="S58">
            <v>20</v>
          </cell>
          <cell r="T58">
            <v>0</v>
          </cell>
          <cell r="U58">
            <v>-24941.33</v>
          </cell>
          <cell r="V58">
            <v>120</v>
          </cell>
        </row>
        <row r="59">
          <cell r="D59">
            <v>455.72</v>
          </cell>
          <cell r="P59">
            <v>0</v>
          </cell>
          <cell r="S59">
            <v>29</v>
          </cell>
          <cell r="T59">
            <v>0</v>
          </cell>
          <cell r="U59">
            <v>-18228.800000000003</v>
          </cell>
          <cell r="V59">
            <v>129</v>
          </cell>
        </row>
        <row r="60">
          <cell r="D60">
            <v>692.65</v>
          </cell>
          <cell r="P60">
            <v>0</v>
          </cell>
          <cell r="S60">
            <v>29</v>
          </cell>
          <cell r="T60">
            <v>0</v>
          </cell>
          <cell r="U60">
            <v>-27706</v>
          </cell>
          <cell r="V60">
            <v>129</v>
          </cell>
        </row>
        <row r="61">
          <cell r="D61">
            <v>75.07</v>
          </cell>
          <cell r="P61">
            <v>0</v>
          </cell>
          <cell r="S61">
            <v>29</v>
          </cell>
          <cell r="T61">
            <v>0</v>
          </cell>
          <cell r="U61">
            <v>-2402.24</v>
          </cell>
          <cell r="V61">
            <v>129</v>
          </cell>
        </row>
        <row r="62">
          <cell r="D62">
            <v>458.26</v>
          </cell>
          <cell r="P62">
            <v>0</v>
          </cell>
          <cell r="S62">
            <v>29</v>
          </cell>
          <cell r="T62">
            <v>0</v>
          </cell>
          <cell r="U62">
            <v>-14664.32</v>
          </cell>
          <cell r="V62">
            <v>129</v>
          </cell>
        </row>
        <row r="63">
          <cell r="D63">
            <v>130.37</v>
          </cell>
          <cell r="P63">
            <v>0</v>
          </cell>
          <cell r="S63">
            <v>29</v>
          </cell>
          <cell r="T63">
            <v>0</v>
          </cell>
          <cell r="U63">
            <v>2216.29</v>
          </cell>
          <cell r="V63">
            <v>129</v>
          </cell>
        </row>
        <row r="64">
          <cell r="D64">
            <v>214.54</v>
          </cell>
          <cell r="P64">
            <v>0</v>
          </cell>
          <cell r="S64">
            <v>29</v>
          </cell>
          <cell r="T64">
            <v>0</v>
          </cell>
          <cell r="U64">
            <v>-6865.28</v>
          </cell>
          <cell r="V64">
            <v>129</v>
          </cell>
        </row>
        <row r="65">
          <cell r="D65">
            <v>907.87</v>
          </cell>
          <cell r="P65">
            <v>0</v>
          </cell>
          <cell r="S65">
            <v>29</v>
          </cell>
          <cell r="T65">
            <v>0</v>
          </cell>
          <cell r="U65">
            <v>-29051.84</v>
          </cell>
          <cell r="V65">
            <v>129</v>
          </cell>
        </row>
        <row r="66">
          <cell r="D66">
            <v>72.65</v>
          </cell>
          <cell r="P66">
            <v>0</v>
          </cell>
          <cell r="S66">
            <v>29</v>
          </cell>
          <cell r="T66">
            <v>0</v>
          </cell>
          <cell r="U66">
            <v>-2324.8</v>
          </cell>
          <cell r="V66">
            <v>129</v>
          </cell>
        </row>
        <row r="67">
          <cell r="D67">
            <v>90.53</v>
          </cell>
          <cell r="P67">
            <v>0</v>
          </cell>
          <cell r="S67">
            <v>29</v>
          </cell>
          <cell r="T67">
            <v>0</v>
          </cell>
          <cell r="U67">
            <v>-2896.96</v>
          </cell>
          <cell r="V67">
            <v>129</v>
          </cell>
        </row>
        <row r="68">
          <cell r="D68">
            <v>56.34</v>
          </cell>
          <cell r="P68">
            <v>0</v>
          </cell>
          <cell r="S68">
            <v>22</v>
          </cell>
          <cell r="T68">
            <v>0</v>
          </cell>
          <cell r="U68">
            <v>-676.08</v>
          </cell>
          <cell r="V68">
            <v>122</v>
          </cell>
        </row>
        <row r="69">
          <cell r="D69">
            <v>423.5</v>
          </cell>
          <cell r="P69">
            <v>0</v>
          </cell>
          <cell r="S69">
            <v>22</v>
          </cell>
          <cell r="T69">
            <v>0</v>
          </cell>
          <cell r="U69">
            <v>-12281.5</v>
          </cell>
          <cell r="V69">
            <v>122</v>
          </cell>
        </row>
        <row r="70">
          <cell r="D70">
            <v>228.3</v>
          </cell>
          <cell r="P70">
            <v>0</v>
          </cell>
          <cell r="S70">
            <v>29</v>
          </cell>
          <cell r="T70">
            <v>0</v>
          </cell>
          <cell r="U70">
            <v>-3652.8</v>
          </cell>
          <cell r="V70">
            <v>129</v>
          </cell>
        </row>
        <row r="71">
          <cell r="D71">
            <v>35</v>
          </cell>
          <cell r="P71">
            <v>0</v>
          </cell>
          <cell r="S71">
            <v>22</v>
          </cell>
          <cell r="T71">
            <v>0</v>
          </cell>
          <cell r="U71">
            <v>-560</v>
          </cell>
          <cell r="V71">
            <v>122</v>
          </cell>
        </row>
        <row r="72">
          <cell r="D72">
            <v>674.09</v>
          </cell>
          <cell r="P72">
            <v>0</v>
          </cell>
          <cell r="S72">
            <v>20</v>
          </cell>
          <cell r="T72">
            <v>0</v>
          </cell>
          <cell r="U72">
            <v>-34378.590000000004</v>
          </cell>
          <cell r="V72">
            <v>120</v>
          </cell>
        </row>
        <row r="73">
          <cell r="D73">
            <v>131.42</v>
          </cell>
          <cell r="P73">
            <v>0</v>
          </cell>
          <cell r="S73">
            <v>22</v>
          </cell>
          <cell r="T73">
            <v>0</v>
          </cell>
          <cell r="U73">
            <v>-1577.04</v>
          </cell>
          <cell r="V73">
            <v>122</v>
          </cell>
        </row>
        <row r="74">
          <cell r="D74">
            <v>85.33</v>
          </cell>
          <cell r="P74">
            <v>0</v>
          </cell>
          <cell r="S74">
            <v>22</v>
          </cell>
          <cell r="T74">
            <v>0</v>
          </cell>
          <cell r="U74">
            <v>-853.3</v>
          </cell>
          <cell r="V74">
            <v>122</v>
          </cell>
        </row>
        <row r="75">
          <cell r="D75">
            <v>48.11</v>
          </cell>
          <cell r="P75">
            <v>0</v>
          </cell>
          <cell r="S75">
            <v>22</v>
          </cell>
          <cell r="T75">
            <v>0</v>
          </cell>
          <cell r="U75">
            <v>-577.3199999999999</v>
          </cell>
          <cell r="V75">
            <v>122</v>
          </cell>
        </row>
        <row r="76">
          <cell r="D76">
            <v>42.48</v>
          </cell>
          <cell r="P76">
            <v>0</v>
          </cell>
          <cell r="S76">
            <v>29</v>
          </cell>
          <cell r="T76">
            <v>0</v>
          </cell>
          <cell r="U76">
            <v>-467.28</v>
          </cell>
          <cell r="V76">
            <v>129</v>
          </cell>
        </row>
        <row r="77">
          <cell r="D77">
            <v>435.6</v>
          </cell>
          <cell r="P77">
            <v>0</v>
          </cell>
          <cell r="S77">
            <v>69</v>
          </cell>
          <cell r="T77">
            <v>0</v>
          </cell>
          <cell r="U77">
            <v>10890</v>
          </cell>
          <cell r="V77">
            <v>169</v>
          </cell>
        </row>
        <row r="78">
          <cell r="D78">
            <v>46.42</v>
          </cell>
          <cell r="P78">
            <v>0</v>
          </cell>
          <cell r="S78">
            <v>22</v>
          </cell>
          <cell r="T78">
            <v>0</v>
          </cell>
          <cell r="U78">
            <v>-464.20000000000005</v>
          </cell>
          <cell r="V78">
            <v>122</v>
          </cell>
        </row>
        <row r="79">
          <cell r="D79">
            <v>33.79</v>
          </cell>
          <cell r="P79">
            <v>0</v>
          </cell>
          <cell r="S79">
            <v>29</v>
          </cell>
          <cell r="T79">
            <v>0</v>
          </cell>
          <cell r="U79">
            <v>-506.84999999999997</v>
          </cell>
          <cell r="V79">
            <v>129</v>
          </cell>
        </row>
        <row r="80">
          <cell r="D80">
            <v>286.96</v>
          </cell>
          <cell r="P80">
            <v>0</v>
          </cell>
          <cell r="S80">
            <v>29</v>
          </cell>
          <cell r="T80">
            <v>0</v>
          </cell>
          <cell r="U80">
            <v>-55670.24</v>
          </cell>
          <cell r="V80">
            <v>129</v>
          </cell>
        </row>
        <row r="81">
          <cell r="D81">
            <v>3225.76</v>
          </cell>
          <cell r="P81">
            <v>0</v>
          </cell>
          <cell r="S81">
            <v>29</v>
          </cell>
          <cell r="T81">
            <v>0</v>
          </cell>
          <cell r="U81">
            <v>77418.24</v>
          </cell>
          <cell r="V81">
            <v>129</v>
          </cell>
        </row>
        <row r="82">
          <cell r="D82">
            <v>54.46</v>
          </cell>
          <cell r="P82">
            <v>0</v>
          </cell>
          <cell r="S82">
            <v>29</v>
          </cell>
          <cell r="T82">
            <v>0</v>
          </cell>
          <cell r="U82">
            <v>-816.9</v>
          </cell>
          <cell r="V82">
            <v>129</v>
          </cell>
        </row>
        <row r="83">
          <cell r="D83">
            <v>3657.5</v>
          </cell>
          <cell r="P83">
            <v>0</v>
          </cell>
          <cell r="S83">
            <v>29</v>
          </cell>
          <cell r="T83">
            <v>0</v>
          </cell>
          <cell r="U83">
            <v>-106067.5</v>
          </cell>
          <cell r="V83">
            <v>129</v>
          </cell>
        </row>
        <row r="84">
          <cell r="D84">
            <v>2571.12</v>
          </cell>
          <cell r="P84">
            <v>0</v>
          </cell>
          <cell r="S84">
            <v>29</v>
          </cell>
          <cell r="T84">
            <v>0</v>
          </cell>
          <cell r="U84">
            <v>-25711.199999999997</v>
          </cell>
          <cell r="V84">
            <v>129</v>
          </cell>
        </row>
        <row r="85">
          <cell r="D85">
            <v>216.4</v>
          </cell>
          <cell r="P85">
            <v>0</v>
          </cell>
          <cell r="S85">
            <v>29</v>
          </cell>
          <cell r="T85">
            <v>0</v>
          </cell>
          <cell r="U85">
            <v>-649.2</v>
          </cell>
          <cell r="V85">
            <v>129</v>
          </cell>
        </row>
        <row r="86">
          <cell r="D86">
            <v>105</v>
          </cell>
          <cell r="P86">
            <v>0</v>
          </cell>
          <cell r="S86">
            <v>29</v>
          </cell>
          <cell r="T86">
            <v>0</v>
          </cell>
          <cell r="U86">
            <v>-1050</v>
          </cell>
          <cell r="V86">
            <v>129</v>
          </cell>
        </row>
        <row r="87">
          <cell r="D87">
            <v>2904</v>
          </cell>
          <cell r="P87">
            <v>0</v>
          </cell>
          <cell r="S87">
            <v>29</v>
          </cell>
          <cell r="T87">
            <v>0</v>
          </cell>
          <cell r="U87">
            <v>75504</v>
          </cell>
          <cell r="V87">
            <v>129</v>
          </cell>
        </row>
        <row r="88">
          <cell r="D88">
            <v>151.31</v>
          </cell>
          <cell r="P88">
            <v>0</v>
          </cell>
          <cell r="S88">
            <v>29</v>
          </cell>
          <cell r="T88">
            <v>0</v>
          </cell>
          <cell r="U88">
            <v>-4993.2300000000005</v>
          </cell>
          <cell r="V88">
            <v>129</v>
          </cell>
        </row>
        <row r="89">
          <cell r="D89">
            <v>48.4</v>
          </cell>
          <cell r="P89">
            <v>0</v>
          </cell>
          <cell r="S89">
            <v>21</v>
          </cell>
          <cell r="T89">
            <v>0</v>
          </cell>
          <cell r="U89">
            <v>-2081.2</v>
          </cell>
          <cell r="V89">
            <v>121</v>
          </cell>
        </row>
        <row r="90">
          <cell r="D90">
            <v>332.68</v>
          </cell>
          <cell r="P90">
            <v>0</v>
          </cell>
          <cell r="S90">
            <v>21</v>
          </cell>
          <cell r="T90">
            <v>0</v>
          </cell>
          <cell r="U90">
            <v>-5322.88</v>
          </cell>
          <cell r="V90">
            <v>121</v>
          </cell>
        </row>
        <row r="91">
          <cell r="D91">
            <v>50.99</v>
          </cell>
          <cell r="P91">
            <v>0</v>
          </cell>
          <cell r="S91">
            <v>29</v>
          </cell>
          <cell r="T91">
            <v>0</v>
          </cell>
          <cell r="U91">
            <v>-560.89</v>
          </cell>
          <cell r="V91">
            <v>129</v>
          </cell>
        </row>
        <row r="92">
          <cell r="D92">
            <v>429.55</v>
          </cell>
          <cell r="P92">
            <v>0</v>
          </cell>
          <cell r="S92">
            <v>29</v>
          </cell>
          <cell r="T92">
            <v>0</v>
          </cell>
          <cell r="U92">
            <v>859.1</v>
          </cell>
          <cell r="V92">
            <v>129</v>
          </cell>
        </row>
        <row r="93">
          <cell r="D93">
            <v>30.01</v>
          </cell>
          <cell r="P93">
            <v>0</v>
          </cell>
          <cell r="S93">
            <v>21</v>
          </cell>
          <cell r="T93">
            <v>0</v>
          </cell>
          <cell r="U93">
            <v>-870.2900000000001</v>
          </cell>
          <cell r="V93">
            <v>121</v>
          </cell>
        </row>
        <row r="94">
          <cell r="D94">
            <v>413.29</v>
          </cell>
          <cell r="P94">
            <v>0</v>
          </cell>
          <cell r="S94">
            <v>29</v>
          </cell>
          <cell r="T94">
            <v>0</v>
          </cell>
          <cell r="U94">
            <v>-16531.600000000002</v>
          </cell>
          <cell r="V94">
            <v>129</v>
          </cell>
        </row>
        <row r="95">
          <cell r="D95">
            <v>48.4</v>
          </cell>
          <cell r="P95">
            <v>0</v>
          </cell>
          <cell r="S95">
            <v>21</v>
          </cell>
          <cell r="T95">
            <v>0</v>
          </cell>
          <cell r="U95">
            <v>-1742.3999999999999</v>
          </cell>
          <cell r="V95">
            <v>121</v>
          </cell>
        </row>
        <row r="96">
          <cell r="D96">
            <v>266.2</v>
          </cell>
          <cell r="P96">
            <v>0</v>
          </cell>
          <cell r="S96">
            <v>29</v>
          </cell>
          <cell r="T96">
            <v>0</v>
          </cell>
          <cell r="U96">
            <v>-9849.4</v>
          </cell>
          <cell r="V96">
            <v>129</v>
          </cell>
        </row>
        <row r="97">
          <cell r="D97">
            <v>120.21</v>
          </cell>
          <cell r="P97">
            <v>0</v>
          </cell>
          <cell r="S97">
            <v>29</v>
          </cell>
          <cell r="T97">
            <v>0</v>
          </cell>
          <cell r="U97">
            <v>-3606.2999999999997</v>
          </cell>
          <cell r="V97">
            <v>129</v>
          </cell>
        </row>
        <row r="98">
          <cell r="D98">
            <v>63.4</v>
          </cell>
          <cell r="P98">
            <v>0</v>
          </cell>
          <cell r="S98">
            <v>29</v>
          </cell>
          <cell r="T98">
            <v>0</v>
          </cell>
          <cell r="U98">
            <v>-2028.8</v>
          </cell>
          <cell r="V98">
            <v>129</v>
          </cell>
        </row>
        <row r="99">
          <cell r="D99">
            <v>440.82</v>
          </cell>
          <cell r="P99">
            <v>0</v>
          </cell>
          <cell r="S99">
            <v>21</v>
          </cell>
          <cell r="T99">
            <v>0</v>
          </cell>
          <cell r="U99">
            <v>-13665.42</v>
          </cell>
          <cell r="V99">
            <v>121</v>
          </cell>
        </row>
        <row r="100">
          <cell r="D100">
            <v>106.6</v>
          </cell>
          <cell r="P100">
            <v>0</v>
          </cell>
          <cell r="S100">
            <v>29</v>
          </cell>
          <cell r="T100">
            <v>0</v>
          </cell>
          <cell r="U100">
            <v>-4050.7999999999997</v>
          </cell>
          <cell r="V100">
            <v>129</v>
          </cell>
        </row>
        <row r="101">
          <cell r="D101">
            <v>50.22</v>
          </cell>
          <cell r="P101">
            <v>0</v>
          </cell>
          <cell r="S101">
            <v>21</v>
          </cell>
          <cell r="T101">
            <v>0</v>
          </cell>
          <cell r="U101">
            <v>-1556.82</v>
          </cell>
          <cell r="V101">
            <v>121</v>
          </cell>
        </row>
        <row r="102">
          <cell r="D102">
            <v>50.22</v>
          </cell>
          <cell r="P102">
            <v>0</v>
          </cell>
          <cell r="S102">
            <v>21</v>
          </cell>
          <cell r="T102">
            <v>0</v>
          </cell>
          <cell r="U102">
            <v>-1556.82</v>
          </cell>
          <cell r="V102">
            <v>121</v>
          </cell>
        </row>
        <row r="103">
          <cell r="D103">
            <v>52.19</v>
          </cell>
          <cell r="P103">
            <v>0</v>
          </cell>
          <cell r="S103">
            <v>21</v>
          </cell>
          <cell r="T103">
            <v>0</v>
          </cell>
          <cell r="U103">
            <v>-2766.0699999999997</v>
          </cell>
          <cell r="V103">
            <v>121</v>
          </cell>
        </row>
        <row r="104">
          <cell r="D104">
            <v>483.18</v>
          </cell>
          <cell r="P104">
            <v>0</v>
          </cell>
          <cell r="S104">
            <v>29</v>
          </cell>
          <cell r="T104">
            <v>0</v>
          </cell>
          <cell r="U104">
            <v>-14495.4</v>
          </cell>
          <cell r="V104">
            <v>129</v>
          </cell>
        </row>
        <row r="105">
          <cell r="D105">
            <v>179.22</v>
          </cell>
          <cell r="P105">
            <v>0</v>
          </cell>
          <cell r="S105">
            <v>29</v>
          </cell>
          <cell r="T105">
            <v>0</v>
          </cell>
          <cell r="U105">
            <v>-23836.26</v>
          </cell>
          <cell r="V105">
            <v>129</v>
          </cell>
        </row>
        <row r="106">
          <cell r="D106">
            <v>388.3</v>
          </cell>
          <cell r="P106">
            <v>0</v>
          </cell>
          <cell r="S106">
            <v>29</v>
          </cell>
          <cell r="T106">
            <v>0</v>
          </cell>
          <cell r="U106">
            <v>-7766</v>
          </cell>
          <cell r="V106">
            <v>129</v>
          </cell>
        </row>
        <row r="107">
          <cell r="D107">
            <v>59.3</v>
          </cell>
          <cell r="P107">
            <v>0</v>
          </cell>
          <cell r="S107">
            <v>29</v>
          </cell>
          <cell r="T107">
            <v>0</v>
          </cell>
          <cell r="U107">
            <v>-1897.6</v>
          </cell>
          <cell r="V107">
            <v>129</v>
          </cell>
        </row>
        <row r="108">
          <cell r="D108">
            <v>58.9</v>
          </cell>
          <cell r="P108">
            <v>0</v>
          </cell>
          <cell r="S108">
            <v>29</v>
          </cell>
          <cell r="T108">
            <v>0</v>
          </cell>
          <cell r="U108">
            <v>-1884.8</v>
          </cell>
          <cell r="V108">
            <v>129</v>
          </cell>
        </row>
        <row r="109">
          <cell r="D109">
            <v>30</v>
          </cell>
          <cell r="P109">
            <v>0</v>
          </cell>
          <cell r="S109">
            <v>29</v>
          </cell>
          <cell r="T109">
            <v>0</v>
          </cell>
          <cell r="U109">
            <v>-960</v>
          </cell>
          <cell r="V109">
            <v>129</v>
          </cell>
        </row>
        <row r="110">
          <cell r="D110">
            <v>40</v>
          </cell>
          <cell r="P110">
            <v>0</v>
          </cell>
          <cell r="S110">
            <v>29</v>
          </cell>
          <cell r="T110">
            <v>0</v>
          </cell>
          <cell r="U110">
            <v>-1320</v>
          </cell>
          <cell r="V110">
            <v>129</v>
          </cell>
        </row>
        <row r="111">
          <cell r="D111">
            <v>30</v>
          </cell>
          <cell r="P111">
            <v>0</v>
          </cell>
          <cell r="S111">
            <v>29</v>
          </cell>
          <cell r="T111">
            <v>0</v>
          </cell>
          <cell r="U111">
            <v>-1170</v>
          </cell>
          <cell r="V111">
            <v>129</v>
          </cell>
        </row>
        <row r="112">
          <cell r="D112">
            <v>40</v>
          </cell>
          <cell r="P112">
            <v>0</v>
          </cell>
          <cell r="S112">
            <v>29</v>
          </cell>
          <cell r="T112">
            <v>0</v>
          </cell>
          <cell r="U112">
            <v>-1400</v>
          </cell>
          <cell r="V112">
            <v>129</v>
          </cell>
        </row>
        <row r="113">
          <cell r="D113">
            <v>468.78</v>
          </cell>
          <cell r="P113">
            <v>0</v>
          </cell>
          <cell r="S113">
            <v>29</v>
          </cell>
          <cell r="T113">
            <v>0</v>
          </cell>
          <cell r="U113">
            <v>-18751.199999999997</v>
          </cell>
          <cell r="V113">
            <v>129</v>
          </cell>
        </row>
        <row r="114">
          <cell r="D114">
            <v>443.99</v>
          </cell>
          <cell r="P114">
            <v>0</v>
          </cell>
          <cell r="S114">
            <v>29</v>
          </cell>
          <cell r="T114">
            <v>0</v>
          </cell>
          <cell r="U114">
            <v>-17759.6</v>
          </cell>
          <cell r="V114">
            <v>129</v>
          </cell>
        </row>
        <row r="115">
          <cell r="D115">
            <v>550.84</v>
          </cell>
          <cell r="P115">
            <v>0</v>
          </cell>
          <cell r="S115">
            <v>29</v>
          </cell>
          <cell r="T115">
            <v>0</v>
          </cell>
          <cell r="U115">
            <v>-13220.16</v>
          </cell>
          <cell r="V115">
            <v>129</v>
          </cell>
        </row>
        <row r="116">
          <cell r="D116">
            <v>114.39</v>
          </cell>
          <cell r="P116">
            <v>0</v>
          </cell>
          <cell r="S116">
            <v>22</v>
          </cell>
          <cell r="T116">
            <v>0</v>
          </cell>
          <cell r="U116">
            <v>-2859.75</v>
          </cell>
          <cell r="V116">
            <v>122</v>
          </cell>
        </row>
        <row r="117">
          <cell r="D117">
            <v>101.65</v>
          </cell>
          <cell r="P117">
            <v>0</v>
          </cell>
          <cell r="S117">
            <v>22</v>
          </cell>
          <cell r="T117">
            <v>0</v>
          </cell>
          <cell r="U117">
            <v>-2541.25</v>
          </cell>
          <cell r="V117">
            <v>122</v>
          </cell>
        </row>
        <row r="118">
          <cell r="D118">
            <v>1288.65</v>
          </cell>
          <cell r="P118">
            <v>0</v>
          </cell>
          <cell r="S118">
            <v>21</v>
          </cell>
          <cell r="T118">
            <v>0</v>
          </cell>
          <cell r="U118">
            <v>-12886.5</v>
          </cell>
          <cell r="V118">
            <v>121</v>
          </cell>
        </row>
        <row r="119">
          <cell r="D119">
            <v>245.43</v>
          </cell>
          <cell r="P119">
            <v>0</v>
          </cell>
          <cell r="S119">
            <v>29</v>
          </cell>
          <cell r="T119">
            <v>0</v>
          </cell>
          <cell r="U119">
            <v>-7608.33</v>
          </cell>
          <cell r="V119">
            <v>129</v>
          </cell>
        </row>
        <row r="120">
          <cell r="D120">
            <v>77</v>
          </cell>
          <cell r="P120">
            <v>0</v>
          </cell>
          <cell r="S120">
            <v>29</v>
          </cell>
          <cell r="T120">
            <v>0</v>
          </cell>
          <cell r="U120">
            <v>-2695</v>
          </cell>
          <cell r="V120">
            <v>129</v>
          </cell>
        </row>
        <row r="121">
          <cell r="D121">
            <v>37.09</v>
          </cell>
          <cell r="P121">
            <v>0</v>
          </cell>
          <cell r="S121">
            <v>29</v>
          </cell>
          <cell r="T121">
            <v>0</v>
          </cell>
          <cell r="U121">
            <v>-1594.8700000000001</v>
          </cell>
          <cell r="V121">
            <v>129</v>
          </cell>
        </row>
        <row r="122">
          <cell r="D122">
            <v>246.34</v>
          </cell>
          <cell r="P122">
            <v>0</v>
          </cell>
          <cell r="S122">
            <v>29</v>
          </cell>
          <cell r="T122">
            <v>0</v>
          </cell>
          <cell r="U122">
            <v>-10592.62</v>
          </cell>
          <cell r="V122">
            <v>129</v>
          </cell>
        </row>
        <row r="123">
          <cell r="D123">
            <v>30.86</v>
          </cell>
          <cell r="P123">
            <v>0</v>
          </cell>
          <cell r="S123">
            <v>21</v>
          </cell>
          <cell r="T123">
            <v>0</v>
          </cell>
          <cell r="U123">
            <v>-2314.5</v>
          </cell>
          <cell r="V123">
            <v>121</v>
          </cell>
        </row>
        <row r="124">
          <cell r="D124">
            <v>75.07</v>
          </cell>
          <cell r="P124">
            <v>0</v>
          </cell>
          <cell r="S124">
            <v>29</v>
          </cell>
          <cell r="T124">
            <v>0</v>
          </cell>
          <cell r="U124">
            <v>-9083.47</v>
          </cell>
          <cell r="V124">
            <v>129</v>
          </cell>
        </row>
        <row r="125">
          <cell r="D125">
            <v>72.65</v>
          </cell>
          <cell r="P125">
            <v>0</v>
          </cell>
          <cell r="S125">
            <v>29</v>
          </cell>
          <cell r="T125">
            <v>0</v>
          </cell>
          <cell r="U125">
            <v>-8790.650000000001</v>
          </cell>
          <cell r="V125">
            <v>129</v>
          </cell>
        </row>
        <row r="126">
          <cell r="D126">
            <v>827.51</v>
          </cell>
          <cell r="P126">
            <v>0</v>
          </cell>
          <cell r="S126">
            <v>29</v>
          </cell>
          <cell r="T126">
            <v>0</v>
          </cell>
          <cell r="U126">
            <v>-100128.70999999999</v>
          </cell>
          <cell r="V126">
            <v>129</v>
          </cell>
        </row>
        <row r="127">
          <cell r="D127">
            <v>434.83</v>
          </cell>
          <cell r="P127">
            <v>0</v>
          </cell>
          <cell r="S127">
            <v>29</v>
          </cell>
          <cell r="T127">
            <v>0</v>
          </cell>
          <cell r="U127">
            <v>-52614.43</v>
          </cell>
          <cell r="V127">
            <v>129</v>
          </cell>
        </row>
        <row r="128">
          <cell r="D128">
            <v>281.81</v>
          </cell>
          <cell r="P128">
            <v>0</v>
          </cell>
          <cell r="S128">
            <v>29</v>
          </cell>
          <cell r="T128">
            <v>0</v>
          </cell>
          <cell r="U128">
            <v>-34099.01</v>
          </cell>
          <cell r="V128">
            <v>129</v>
          </cell>
        </row>
        <row r="129">
          <cell r="D129">
            <v>48.4</v>
          </cell>
          <cell r="P129">
            <v>0</v>
          </cell>
          <cell r="S129">
            <v>21</v>
          </cell>
          <cell r="T129">
            <v>0</v>
          </cell>
          <cell r="U129">
            <v>-2081.2</v>
          </cell>
          <cell r="V129">
            <v>121</v>
          </cell>
        </row>
        <row r="130">
          <cell r="D130">
            <v>1904.76</v>
          </cell>
          <cell r="P130">
            <v>0</v>
          </cell>
          <cell r="S130">
            <v>29</v>
          </cell>
          <cell r="T130">
            <v>0</v>
          </cell>
          <cell r="U130">
            <v>-207618.84</v>
          </cell>
          <cell r="V130">
            <v>129</v>
          </cell>
        </row>
        <row r="131">
          <cell r="D131">
            <v>41.16</v>
          </cell>
          <cell r="P131">
            <v>0</v>
          </cell>
          <cell r="S131">
            <v>21</v>
          </cell>
          <cell r="T131">
            <v>0</v>
          </cell>
          <cell r="U131">
            <v>-2181.48</v>
          </cell>
          <cell r="V131">
            <v>121</v>
          </cell>
        </row>
        <row r="132">
          <cell r="D132">
            <v>38.05</v>
          </cell>
          <cell r="P132">
            <v>0</v>
          </cell>
          <cell r="S132">
            <v>29</v>
          </cell>
          <cell r="T132">
            <v>0</v>
          </cell>
          <cell r="U132">
            <v>-646.8499999999999</v>
          </cell>
          <cell r="V132">
            <v>129</v>
          </cell>
        </row>
        <row r="133">
          <cell r="D133">
            <v>280.28</v>
          </cell>
          <cell r="P133">
            <v>0</v>
          </cell>
          <cell r="S133">
            <v>29</v>
          </cell>
          <cell r="T133">
            <v>0</v>
          </cell>
          <cell r="U133">
            <v>-14294.279999999999</v>
          </cell>
          <cell r="V133">
            <v>129</v>
          </cell>
        </row>
        <row r="134">
          <cell r="D134">
            <v>17.4</v>
          </cell>
          <cell r="P134">
            <v>0</v>
          </cell>
          <cell r="S134">
            <v>29</v>
          </cell>
          <cell r="T134">
            <v>0</v>
          </cell>
          <cell r="U134">
            <v>-1478.9999999999998</v>
          </cell>
          <cell r="V134">
            <v>129</v>
          </cell>
        </row>
        <row r="135">
          <cell r="D135">
            <v>17.4</v>
          </cell>
          <cell r="P135">
            <v>0</v>
          </cell>
          <cell r="S135">
            <v>29</v>
          </cell>
          <cell r="T135">
            <v>0</v>
          </cell>
          <cell r="U135">
            <v>-991.8</v>
          </cell>
          <cell r="V135">
            <v>129</v>
          </cell>
        </row>
        <row r="136">
          <cell r="D136">
            <v>63.31</v>
          </cell>
          <cell r="P136">
            <v>0</v>
          </cell>
          <cell r="S136">
            <v>29</v>
          </cell>
          <cell r="T136">
            <v>0</v>
          </cell>
          <cell r="U136">
            <v>-3608.67</v>
          </cell>
          <cell r="V136">
            <v>129</v>
          </cell>
        </row>
        <row r="137">
          <cell r="D137">
            <v>90.29</v>
          </cell>
          <cell r="P137">
            <v>0</v>
          </cell>
          <cell r="S137">
            <v>29</v>
          </cell>
          <cell r="T137">
            <v>0</v>
          </cell>
          <cell r="U137">
            <v>-7674.650000000001</v>
          </cell>
          <cell r="V137">
            <v>129</v>
          </cell>
        </row>
        <row r="138">
          <cell r="D138">
            <v>10.91</v>
          </cell>
          <cell r="P138">
            <v>0</v>
          </cell>
          <cell r="S138">
            <v>29</v>
          </cell>
          <cell r="T138">
            <v>0</v>
          </cell>
          <cell r="U138">
            <v>-938.26</v>
          </cell>
          <cell r="V138">
            <v>129</v>
          </cell>
        </row>
        <row r="139">
          <cell r="D139">
            <v>457.22</v>
          </cell>
          <cell r="P139">
            <v>0</v>
          </cell>
          <cell r="S139">
            <v>29</v>
          </cell>
          <cell r="T139">
            <v>0</v>
          </cell>
          <cell r="U139">
            <v>-16459.920000000002</v>
          </cell>
          <cell r="V139">
            <v>129</v>
          </cell>
        </row>
        <row r="140">
          <cell r="D140">
            <v>127.99</v>
          </cell>
          <cell r="P140">
            <v>0</v>
          </cell>
          <cell r="S140">
            <v>29</v>
          </cell>
          <cell r="T140">
            <v>0</v>
          </cell>
          <cell r="U140">
            <v>-13310.96</v>
          </cell>
          <cell r="V140">
            <v>129</v>
          </cell>
        </row>
        <row r="141">
          <cell r="D141">
            <v>233</v>
          </cell>
          <cell r="P141">
            <v>0</v>
          </cell>
          <cell r="S141">
            <v>29</v>
          </cell>
          <cell r="T141">
            <v>0</v>
          </cell>
          <cell r="U141">
            <v>-17708</v>
          </cell>
          <cell r="V141">
            <v>129</v>
          </cell>
        </row>
        <row r="142">
          <cell r="D142">
            <v>550</v>
          </cell>
          <cell r="P142">
            <v>0</v>
          </cell>
          <cell r="S142">
            <v>29</v>
          </cell>
          <cell r="T142">
            <v>0</v>
          </cell>
          <cell r="U142">
            <v>-31350</v>
          </cell>
          <cell r="V142">
            <v>129</v>
          </cell>
        </row>
        <row r="143">
          <cell r="D143">
            <v>165.72</v>
          </cell>
          <cell r="P143">
            <v>0</v>
          </cell>
          <cell r="S143">
            <v>29</v>
          </cell>
          <cell r="T143">
            <v>0</v>
          </cell>
          <cell r="U143">
            <v>-4805.88</v>
          </cell>
          <cell r="V143">
            <v>129</v>
          </cell>
        </row>
        <row r="144">
          <cell r="D144">
            <v>378.19</v>
          </cell>
          <cell r="P144">
            <v>0</v>
          </cell>
          <cell r="S144">
            <v>29</v>
          </cell>
          <cell r="T144">
            <v>0</v>
          </cell>
          <cell r="U144">
            <v>-12102.08</v>
          </cell>
          <cell r="V144">
            <v>129</v>
          </cell>
        </row>
        <row r="145">
          <cell r="D145">
            <v>421.52</v>
          </cell>
          <cell r="P145">
            <v>0</v>
          </cell>
          <cell r="S145">
            <v>29</v>
          </cell>
          <cell r="T145">
            <v>0</v>
          </cell>
          <cell r="U145">
            <v>-13488.64</v>
          </cell>
          <cell r="V145">
            <v>129</v>
          </cell>
        </row>
        <row r="146">
          <cell r="D146">
            <v>42.4</v>
          </cell>
          <cell r="P146">
            <v>0</v>
          </cell>
          <cell r="S146">
            <v>29</v>
          </cell>
          <cell r="T146">
            <v>0</v>
          </cell>
          <cell r="U146">
            <v>-5172.8</v>
          </cell>
          <cell r="V146">
            <v>129</v>
          </cell>
        </row>
        <row r="147">
          <cell r="D147">
            <v>17.4</v>
          </cell>
          <cell r="P147">
            <v>0</v>
          </cell>
          <cell r="S147">
            <v>29</v>
          </cell>
          <cell r="T147">
            <v>0</v>
          </cell>
          <cell r="U147">
            <v>-2122.7999999999997</v>
          </cell>
          <cell r="V147">
            <v>129</v>
          </cell>
        </row>
        <row r="148">
          <cell r="D148">
            <v>578.74</v>
          </cell>
          <cell r="P148">
            <v>0</v>
          </cell>
          <cell r="S148">
            <v>29</v>
          </cell>
          <cell r="T148">
            <v>0</v>
          </cell>
          <cell r="U148">
            <v>-35303.14</v>
          </cell>
          <cell r="V148">
            <v>129</v>
          </cell>
        </row>
        <row r="149">
          <cell r="D149">
            <v>614.91</v>
          </cell>
          <cell r="P149">
            <v>0</v>
          </cell>
          <cell r="S149">
            <v>29</v>
          </cell>
          <cell r="T149">
            <v>0</v>
          </cell>
          <cell r="U149">
            <v>-30130.59</v>
          </cell>
          <cell r="V149">
            <v>129</v>
          </cell>
        </row>
        <row r="150">
          <cell r="D150">
            <v>962.88</v>
          </cell>
          <cell r="P150">
            <v>0</v>
          </cell>
          <cell r="S150">
            <v>29</v>
          </cell>
          <cell r="T150">
            <v>0</v>
          </cell>
          <cell r="U150">
            <v>-47181.12</v>
          </cell>
          <cell r="V150">
            <v>129</v>
          </cell>
        </row>
        <row r="151">
          <cell r="D151">
            <v>30</v>
          </cell>
          <cell r="P151">
            <v>0</v>
          </cell>
          <cell r="S151">
            <v>29</v>
          </cell>
          <cell r="T151">
            <v>0</v>
          </cell>
          <cell r="U151">
            <v>-1080</v>
          </cell>
          <cell r="V151">
            <v>129</v>
          </cell>
        </row>
        <row r="152">
          <cell r="D152">
            <v>50.22</v>
          </cell>
          <cell r="P152">
            <v>0</v>
          </cell>
          <cell r="S152">
            <v>21</v>
          </cell>
          <cell r="T152">
            <v>0</v>
          </cell>
          <cell r="U152">
            <v>-6980.58</v>
          </cell>
          <cell r="V152">
            <v>121</v>
          </cell>
        </row>
        <row r="153">
          <cell r="D153">
            <v>77</v>
          </cell>
          <cell r="P153">
            <v>0</v>
          </cell>
          <cell r="S153">
            <v>29</v>
          </cell>
          <cell r="T153">
            <v>0</v>
          </cell>
          <cell r="U153">
            <v>-8008</v>
          </cell>
          <cell r="V153">
            <v>129</v>
          </cell>
        </row>
        <row r="154">
          <cell r="D154">
            <v>586.2</v>
          </cell>
          <cell r="P154">
            <v>0</v>
          </cell>
          <cell r="S154">
            <v>29</v>
          </cell>
          <cell r="T154">
            <v>0</v>
          </cell>
          <cell r="U154">
            <v>-33999.600000000006</v>
          </cell>
          <cell r="V154">
            <v>129</v>
          </cell>
        </row>
        <row r="155">
          <cell r="D155">
            <v>56.8</v>
          </cell>
          <cell r="P155">
            <v>0</v>
          </cell>
          <cell r="S155">
            <v>29</v>
          </cell>
          <cell r="T155">
            <v>0</v>
          </cell>
          <cell r="U155">
            <v>-3294.3999999999996</v>
          </cell>
          <cell r="V155">
            <v>129</v>
          </cell>
        </row>
      </sheetData>
      <sheetData sheetId="2">
        <row r="1">
          <cell r="P1" t="str">
            <v>HH bukaera</v>
          </cell>
        </row>
        <row r="3">
          <cell r="D3" t="str">
            <v>Zenbatekoa</v>
          </cell>
          <cell r="P3" t="str">
            <v>Epea
 O
 - HH buk</v>
          </cell>
          <cell r="S3" t="str">
            <v>Artik</v>
          </cell>
          <cell r="T3" t="str">
            <v>ponderazioa 1</v>
          </cell>
          <cell r="U3" t="str">
            <v>ponderazioa 2</v>
          </cell>
          <cell r="V3" t="str">
            <v>Epean</v>
          </cell>
        </row>
      </sheetData>
      <sheetData sheetId="3">
        <row r="2">
          <cell r="D2" t="str">
            <v>betebeharrekoak</v>
          </cell>
        </row>
        <row r="3">
          <cell r="D3" t="str">
            <v>hautazkoak</v>
          </cell>
        </row>
        <row r="5">
          <cell r="D5" t="str">
            <v>Zenbatekoa</v>
          </cell>
          <cell r="O5" t="str">
            <v>Epea
 R-HH buk</v>
          </cell>
          <cell r="R5" t="str">
            <v>ponderazioa 1</v>
          </cell>
          <cell r="S5" t="str">
            <v>ponderazioa 2</v>
          </cell>
          <cell r="T5" t="str">
            <v>epean</v>
          </cell>
        </row>
        <row r="6">
          <cell r="D6">
            <v>1926.09</v>
          </cell>
          <cell r="O6">
            <v>20</v>
          </cell>
          <cell r="R6">
            <v>38521.799999999996</v>
          </cell>
          <cell r="S6">
            <v>-19260.899999999998</v>
          </cell>
        </row>
        <row r="7">
          <cell r="D7">
            <v>85.67</v>
          </cell>
          <cell r="O7">
            <v>22</v>
          </cell>
          <cell r="R7">
            <v>1884.74</v>
          </cell>
          <cell r="S7">
            <v>-685.36</v>
          </cell>
        </row>
        <row r="8">
          <cell r="D8">
            <v>183.92</v>
          </cell>
          <cell r="O8">
            <v>-1</v>
          </cell>
          <cell r="R8">
            <v>-183.92</v>
          </cell>
          <cell r="S8">
            <v>-5701.5199999999995</v>
          </cell>
        </row>
        <row r="9">
          <cell r="D9">
            <v>155.18</v>
          </cell>
          <cell r="O9">
            <v>-1</v>
          </cell>
          <cell r="R9">
            <v>-155.18</v>
          </cell>
          <cell r="S9">
            <v>-4810.58</v>
          </cell>
        </row>
        <row r="10">
          <cell r="D10">
            <v>185.42</v>
          </cell>
          <cell r="O10">
            <v>20</v>
          </cell>
          <cell r="R10">
            <v>3708.3999999999996</v>
          </cell>
          <cell r="S10">
            <v>-1854.1999999999998</v>
          </cell>
        </row>
        <row r="11">
          <cell r="D11">
            <v>778.9</v>
          </cell>
          <cell r="O11">
            <v>47</v>
          </cell>
          <cell r="R11">
            <v>36608.299999999996</v>
          </cell>
          <cell r="S11">
            <v>13241.3</v>
          </cell>
        </row>
        <row r="12">
          <cell r="D12">
            <v>836.4</v>
          </cell>
          <cell r="O12">
            <v>-9</v>
          </cell>
          <cell r="R12">
            <v>-7527.599999999999</v>
          </cell>
          <cell r="S12">
            <v>-32619.6</v>
          </cell>
        </row>
        <row r="13">
          <cell r="D13">
            <v>247.6</v>
          </cell>
          <cell r="O13">
            <v>1</v>
          </cell>
          <cell r="R13">
            <v>247.6</v>
          </cell>
          <cell r="S13">
            <v>-7180.4</v>
          </cell>
        </row>
        <row r="14">
          <cell r="D14">
            <v>5</v>
          </cell>
          <cell r="O14">
            <v>1</v>
          </cell>
          <cell r="R14">
            <v>5</v>
          </cell>
          <cell r="S14">
            <v>-145</v>
          </cell>
        </row>
        <row r="15">
          <cell r="D15">
            <v>9.8</v>
          </cell>
          <cell r="O15">
            <v>6</v>
          </cell>
          <cell r="R15">
            <v>58.800000000000004</v>
          </cell>
          <cell r="S15">
            <v>-235.20000000000002</v>
          </cell>
        </row>
        <row r="16">
          <cell r="D16">
            <v>136.75</v>
          </cell>
          <cell r="O16">
            <v>-16</v>
          </cell>
          <cell r="R16">
            <v>-2188</v>
          </cell>
          <cell r="S16">
            <v>-6290.5</v>
          </cell>
        </row>
        <row r="17">
          <cell r="D17">
            <v>126.22</v>
          </cell>
          <cell r="O17">
            <v>-15</v>
          </cell>
          <cell r="R17">
            <v>-1893.3</v>
          </cell>
          <cell r="S17">
            <v>-5679.9</v>
          </cell>
        </row>
        <row r="18">
          <cell r="D18">
            <v>199.65</v>
          </cell>
          <cell r="O18">
            <v>-15</v>
          </cell>
          <cell r="R18">
            <v>-2994.75</v>
          </cell>
          <cell r="S18">
            <v>-8984.25</v>
          </cell>
        </row>
        <row r="19">
          <cell r="D19">
            <v>227.76</v>
          </cell>
          <cell r="O19">
            <v>-15</v>
          </cell>
          <cell r="R19">
            <v>-3416.3999999999996</v>
          </cell>
          <cell r="S19">
            <v>-10249.199999999999</v>
          </cell>
        </row>
        <row r="20">
          <cell r="D20">
            <v>1668.35</v>
          </cell>
          <cell r="O20">
            <v>-15</v>
          </cell>
          <cell r="R20">
            <v>-25025.25</v>
          </cell>
          <cell r="S20">
            <v>-75075.75</v>
          </cell>
        </row>
        <row r="21">
          <cell r="D21">
            <v>199.03</v>
          </cell>
          <cell r="O21">
            <v>-9</v>
          </cell>
          <cell r="R21">
            <v>-1791.27</v>
          </cell>
          <cell r="S21">
            <v>-7762.17</v>
          </cell>
        </row>
        <row r="22">
          <cell r="D22">
            <v>346.85</v>
          </cell>
          <cell r="O22">
            <v>-9</v>
          </cell>
          <cell r="R22">
            <v>-3121.65</v>
          </cell>
          <cell r="S22">
            <v>-13527.150000000001</v>
          </cell>
        </row>
        <row r="23">
          <cell r="D23">
            <v>97.38</v>
          </cell>
          <cell r="O23">
            <v>-14</v>
          </cell>
          <cell r="R23">
            <v>-1363.32</v>
          </cell>
          <cell r="S23">
            <v>-4284.719999999999</v>
          </cell>
        </row>
        <row r="24">
          <cell r="D24">
            <v>429.55</v>
          </cell>
          <cell r="O24">
            <v>-15</v>
          </cell>
          <cell r="R24">
            <v>-6443.25</v>
          </cell>
          <cell r="S24">
            <v>-19329.75</v>
          </cell>
        </row>
        <row r="25">
          <cell r="D25">
            <v>48.53</v>
          </cell>
          <cell r="O25">
            <v>-17</v>
          </cell>
          <cell r="R25">
            <v>-825.01</v>
          </cell>
          <cell r="S25">
            <v>-2280.91</v>
          </cell>
        </row>
        <row r="26">
          <cell r="D26">
            <v>600</v>
          </cell>
          <cell r="O26">
            <v>-20</v>
          </cell>
          <cell r="R26">
            <v>-12000</v>
          </cell>
          <cell r="S26">
            <v>-30000</v>
          </cell>
        </row>
        <row r="27">
          <cell r="D27">
            <v>553.43</v>
          </cell>
          <cell r="O27">
            <v>-15</v>
          </cell>
          <cell r="R27">
            <v>-8301.449999999999</v>
          </cell>
          <cell r="S27">
            <v>-24904.35</v>
          </cell>
        </row>
        <row r="28">
          <cell r="D28">
            <v>17.65</v>
          </cell>
          <cell r="O28">
            <v>-15</v>
          </cell>
          <cell r="R28">
            <v>-264.75</v>
          </cell>
          <cell r="S28">
            <v>-794.2499999999999</v>
          </cell>
        </row>
        <row r="29">
          <cell r="D29">
            <v>36.3</v>
          </cell>
          <cell r="O29">
            <v>-15</v>
          </cell>
          <cell r="R29">
            <v>-544.5</v>
          </cell>
          <cell r="S29">
            <v>-1633.4999999999998</v>
          </cell>
        </row>
        <row r="30">
          <cell r="D30">
            <v>54.21</v>
          </cell>
          <cell r="O30">
            <v>-15</v>
          </cell>
          <cell r="R30">
            <v>-813.15</v>
          </cell>
          <cell r="S30">
            <v>-2439.45</v>
          </cell>
        </row>
        <row r="31">
          <cell r="D31">
            <v>620.89</v>
          </cell>
          <cell r="O31">
            <v>-13</v>
          </cell>
          <cell r="R31">
            <v>-8071.57</v>
          </cell>
          <cell r="S31">
            <v>-26698.27</v>
          </cell>
        </row>
        <row r="32">
          <cell r="D32">
            <v>45.06</v>
          </cell>
          <cell r="O32">
            <v>56</v>
          </cell>
          <cell r="R32">
            <v>2523.36</v>
          </cell>
          <cell r="S32">
            <v>1171.56</v>
          </cell>
        </row>
        <row r="33">
          <cell r="D33">
            <v>200.97</v>
          </cell>
          <cell r="O33">
            <v>-17</v>
          </cell>
          <cell r="R33">
            <v>-3416.49</v>
          </cell>
          <cell r="S33">
            <v>-9445.59</v>
          </cell>
        </row>
        <row r="34">
          <cell r="D34">
            <v>387.2</v>
          </cell>
          <cell r="O34">
            <v>-1</v>
          </cell>
          <cell r="R34">
            <v>-387.2</v>
          </cell>
          <cell r="S34">
            <v>-12003.199999999999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67">
      <selection activeCell="H34" sqref="H34"/>
    </sheetView>
  </sheetViews>
  <sheetFormatPr defaultColWidth="9.140625" defaultRowHeight="12.75" customHeight="1"/>
  <cols>
    <col min="1" max="1" width="3.140625" style="1" customWidth="1"/>
    <col min="2" max="2" width="4.421875" style="1" bestFit="1" customWidth="1"/>
    <col min="3" max="3" width="34.00390625" style="1" bestFit="1" customWidth="1"/>
    <col min="4" max="9" width="13.7109375" style="1" customWidth="1"/>
    <col min="10" max="16384" width="9.140625" style="1" customWidth="1"/>
  </cols>
  <sheetData>
    <row r="1" spans="1:2" ht="12.75" customHeight="1">
      <c r="A1" s="168">
        <f>SUMSQ(D27:I27,D39:F40,D59:I59,D72:F72,D82:F83,E91:H91)</f>
        <v>8.470329472543003E-22</v>
      </c>
      <c r="B1" s="168"/>
    </row>
    <row r="2" spans="1:9" s="2" customFormat="1" ht="15.75" customHeight="1">
      <c r="A2" s="169" t="s">
        <v>73</v>
      </c>
      <c r="B2" s="170"/>
      <c r="C2" s="170"/>
      <c r="D2" s="170"/>
      <c r="E2" s="170"/>
      <c r="F2" s="170"/>
      <c r="G2" s="170"/>
      <c r="H2" s="170"/>
      <c r="I2" s="171"/>
    </row>
    <row r="3" spans="1:9" s="2" customFormat="1" ht="15.75" customHeight="1">
      <c r="A3" s="3"/>
      <c r="B3" s="4"/>
      <c r="C3" s="5" t="s">
        <v>74</v>
      </c>
      <c r="D3" s="172" t="s">
        <v>75</v>
      </c>
      <c r="E3" s="172"/>
      <c r="F3" s="172"/>
      <c r="G3" s="172"/>
      <c r="H3" s="4"/>
      <c r="I3" s="6"/>
    </row>
    <row r="4" spans="1:9" s="2" customFormat="1" ht="15.75" customHeight="1">
      <c r="A4" s="3"/>
      <c r="B4" s="4"/>
      <c r="C4" s="7" t="s">
        <v>76</v>
      </c>
      <c r="D4" s="8">
        <v>2015</v>
      </c>
      <c r="E4" s="9"/>
      <c r="F4" s="4"/>
      <c r="G4" s="4"/>
      <c r="H4" s="4"/>
      <c r="I4" s="6"/>
    </row>
    <row r="5" spans="1:9" s="2" customFormat="1" ht="15.75" customHeight="1">
      <c r="A5" s="10"/>
      <c r="B5" s="11"/>
      <c r="C5" s="12" t="s">
        <v>77</v>
      </c>
      <c r="D5" s="13" t="s">
        <v>78</v>
      </c>
      <c r="E5" s="14"/>
      <c r="F5" s="11"/>
      <c r="G5" s="11"/>
      <c r="H5" s="11"/>
      <c r="I5" s="15"/>
    </row>
    <row r="6" spans="1:9" ht="12.75" customHeight="1">
      <c r="A6" s="16"/>
      <c r="B6" s="16"/>
      <c r="C6" s="17"/>
      <c r="D6" s="18"/>
      <c r="E6" s="18"/>
      <c r="F6" s="16"/>
      <c r="G6" s="16"/>
      <c r="H6" s="16"/>
      <c r="I6" s="16"/>
    </row>
    <row r="7" spans="1:9" ht="12.75" customHeight="1">
      <c r="A7" s="16"/>
      <c r="B7" s="16"/>
      <c r="C7" s="17"/>
      <c r="D7" s="18"/>
      <c r="E7" s="18"/>
      <c r="F7" s="16"/>
      <c r="G7" s="16"/>
      <c r="H7" s="16"/>
      <c r="I7" s="16"/>
    </row>
    <row r="9" s="2" customFormat="1" ht="15.75">
      <c r="A9" s="19" t="s">
        <v>79</v>
      </c>
    </row>
    <row r="10" ht="12.75" customHeight="1">
      <c r="A10" s="20"/>
    </row>
    <row r="11" ht="12.75" customHeight="1">
      <c r="A11" s="20"/>
    </row>
    <row r="12" s="22" customFormat="1" ht="13.5" thickBot="1">
      <c r="A12" s="21" t="s">
        <v>80</v>
      </c>
    </row>
    <row r="13" spans="1:9" ht="12.75" customHeight="1">
      <c r="A13" s="129" t="s">
        <v>81</v>
      </c>
      <c r="B13" s="130"/>
      <c r="C13" s="151"/>
      <c r="D13" s="153" t="s">
        <v>82</v>
      </c>
      <c r="E13" s="154"/>
      <c r="F13" s="155" t="s">
        <v>83</v>
      </c>
      <c r="G13" s="156"/>
      <c r="H13" s="156"/>
      <c r="I13" s="157"/>
    </row>
    <row r="14" spans="1:9" ht="12.75" customHeight="1">
      <c r="A14" s="132"/>
      <c r="B14" s="133"/>
      <c r="C14" s="152"/>
      <c r="D14" s="158" t="s">
        <v>84</v>
      </c>
      <c r="E14" s="159"/>
      <c r="F14" s="160" t="s">
        <v>85</v>
      </c>
      <c r="G14" s="161"/>
      <c r="H14" s="161" t="s">
        <v>86</v>
      </c>
      <c r="I14" s="162"/>
    </row>
    <row r="15" spans="1:9" ht="22.5">
      <c r="A15" s="132"/>
      <c r="B15" s="133"/>
      <c r="C15" s="152"/>
      <c r="D15" s="23" t="s">
        <v>87</v>
      </c>
      <c r="E15" s="24" t="s">
        <v>88</v>
      </c>
      <c r="F15" s="25" t="s">
        <v>89</v>
      </c>
      <c r="G15" s="26" t="s">
        <v>90</v>
      </c>
      <c r="H15" s="26" t="s">
        <v>89</v>
      </c>
      <c r="I15" s="27" t="s">
        <v>90</v>
      </c>
    </row>
    <row r="16" spans="1:9" ht="12.75" customHeight="1">
      <c r="A16" s="141" t="s">
        <v>91</v>
      </c>
      <c r="B16" s="142"/>
      <c r="C16" s="142"/>
      <c r="D16" s="28">
        <f>IF(G16+I16=0,0,(D17*(G17+I17)+D18*(G18+I18)+D19*(G19+I19)+D20*(G20+I20)+D21*(G21+I21))/(G16+I16))</f>
        <v>0</v>
      </c>
      <c r="E16" s="29">
        <f>IF(I16=0,0,(E17*I17+E18*I18+E19*I19+E20*I20+E21*I21)/I16)</f>
        <v>0</v>
      </c>
      <c r="F16" s="30">
        <f>SUM(F17:F21)</f>
        <v>147</v>
      </c>
      <c r="G16" s="31">
        <f>SUM(G17:G21)</f>
        <v>113423.27999999993</v>
      </c>
      <c r="H16" s="32">
        <f>SUM(H17:H21)</f>
        <v>0</v>
      </c>
      <c r="I16" s="33">
        <f>SUM(I17:I21)</f>
        <v>0</v>
      </c>
    </row>
    <row r="17" spans="1:9" ht="12.75" customHeight="1">
      <c r="A17" s="34"/>
      <c r="B17" s="35" t="s">
        <v>17</v>
      </c>
      <c r="C17" s="16" t="s">
        <v>92</v>
      </c>
      <c r="D17" s="36">
        <f>IF(F17+H17=0,0,SUMIF('[1]detalle1'!S:S,20,'[1]detalle1'!T:T)/SUMIF('[1]detalle1'!S:S,20,'[1]detalle1'!D:D))</f>
        <v>0</v>
      </c>
      <c r="E17" s="37">
        <f>IF(H17=0,0,SUMIF('[1]detalle1'!V:V,220,'[1]detalle1'!T:T)/SUMIF('[1]detalle1'!V:V,220,'[1]detalle1'!D:D))</f>
        <v>0</v>
      </c>
      <c r="F17" s="38">
        <f>COUNTIF('[1]detalle1'!V:V,120)</f>
        <v>3</v>
      </c>
      <c r="G17" s="39">
        <f>SUMIF('[1]detalle1'!V:V,120,'[1]detalle1'!D:D)</f>
        <v>2022.27</v>
      </c>
      <c r="H17" s="40">
        <f>COUNTIF('[1]detalle1'!V:V,220)</f>
        <v>0</v>
      </c>
      <c r="I17" s="41">
        <f>SUMIF('[1]detalle1'!V:V,220,'[1]detalle1'!D:D)</f>
        <v>0</v>
      </c>
    </row>
    <row r="18" spans="1:9" ht="12.75" customHeight="1">
      <c r="A18" s="34"/>
      <c r="B18" s="35" t="s">
        <v>19</v>
      </c>
      <c r="C18" s="16" t="s">
        <v>93</v>
      </c>
      <c r="D18" s="36">
        <f>IF(F18+H18=0,0,SUMIF('[1]detalle1'!S:S,21,'[1]detalle1'!T:T)/SUMIF('[1]detalle1'!S:S,21,'[1]detalle1'!D:D))</f>
        <v>0</v>
      </c>
      <c r="E18" s="37">
        <f>IF(H18=0,0,SUMIF('[1]detalle1'!V:V,221,'[1]detalle1'!T:T)/SUMIF('[1]detalle1'!V:V,221,'[1]detalle1'!D:D))</f>
        <v>0</v>
      </c>
      <c r="F18" s="38">
        <f>COUNTIF('[1]detalle1'!V:V,121)</f>
        <v>17</v>
      </c>
      <c r="G18" s="39">
        <f>SUMIF('[1]detalle1'!V:V,121,'[1]detalle1'!D:D)</f>
        <v>4399.389999999999</v>
      </c>
      <c r="H18" s="40">
        <f>COUNTIF('[1]detalle1'!V:V,221)</f>
        <v>0</v>
      </c>
      <c r="I18" s="41">
        <f>SUMIF('[1]detalle1'!V:V,221,'[1]detalle1'!D:D)</f>
        <v>0</v>
      </c>
    </row>
    <row r="19" spans="1:9" ht="12.75" customHeight="1">
      <c r="A19" s="34"/>
      <c r="B19" s="35" t="s">
        <v>21</v>
      </c>
      <c r="C19" s="16" t="s">
        <v>94</v>
      </c>
      <c r="D19" s="36">
        <f>IF(F19+H19=0,0,SUMIF('[1]detalle1'!S:S,22,'[1]detalle1'!T:T)/SUMIF('[1]detalle1'!S:S,22,'[1]detalle1'!D:D))</f>
        <v>0</v>
      </c>
      <c r="E19" s="37">
        <f>IF(H19=0,0,SUMIF('[1]detalle1'!V:V,222,'[1]detalle1'!T:T)/SUMIF('[1]detalle1'!V:V,222,'[1]detalle1'!D:D))</f>
        <v>0</v>
      </c>
      <c r="F19" s="38">
        <f>COUNTIF('[1]detalle1'!V:V,122)</f>
        <v>10</v>
      </c>
      <c r="G19" s="39">
        <f>SUMIF('[1]detalle1'!V:V,122,'[1]detalle1'!D:D)</f>
        <v>1889.4900000000002</v>
      </c>
      <c r="H19" s="40">
        <f>COUNTIF('[1]detalle1'!V:V,222)</f>
        <v>0</v>
      </c>
      <c r="I19" s="41">
        <f>SUMIF('[1]detalle1'!V:V,222,'[1]detalle1'!D:D)</f>
        <v>0</v>
      </c>
    </row>
    <row r="20" spans="1:9" ht="12.75" customHeight="1">
      <c r="A20" s="34"/>
      <c r="B20" s="35" t="s">
        <v>23</v>
      </c>
      <c r="C20" s="16" t="s">
        <v>95</v>
      </c>
      <c r="D20" s="36">
        <f>IF(F20+H20=0,0,SUMIF('[1]detalle1'!S:S,23,'[1]detalle1'!T:T)/SUMIF('[1]detalle1'!S:S,23,'[1]detalle1'!D:D))</f>
        <v>0</v>
      </c>
      <c r="E20" s="37">
        <f>IF(H20=0,0,SUMIF('[1]detalle1'!V:V,223,'[1]detalle1'!T:T)/SUMIF('[1]detalle1'!V:V,223,'[1]detalle1'!D:D))</f>
        <v>0</v>
      </c>
      <c r="F20" s="38">
        <f>COUNTIF('[1]detalle1'!V:V,123)</f>
        <v>0</v>
      </c>
      <c r="G20" s="39">
        <f>SUMIF('[1]detalle1'!V:V,123,'[1]detalle1'!D:D)</f>
        <v>0</v>
      </c>
      <c r="H20" s="40">
        <f>COUNTIF('[1]detalle1'!V:V,223)</f>
        <v>0</v>
      </c>
      <c r="I20" s="41">
        <f>SUMIF('[1]detalle1'!V:V,223,'[1]detalle1'!D:D)</f>
        <v>0</v>
      </c>
    </row>
    <row r="21" spans="1:9" ht="12.75" customHeight="1">
      <c r="A21" s="34"/>
      <c r="B21" s="35" t="s">
        <v>25</v>
      </c>
      <c r="C21" s="16" t="s">
        <v>96</v>
      </c>
      <c r="D21" s="36">
        <f>IF(F21+H21=0,0,SUMIF('[1]detalle1'!S:S,29,'[1]detalle1'!T:T)/SUMIF('[1]detalle1'!S:S,29,'[1]detalle1'!D:D))</f>
        <v>0</v>
      </c>
      <c r="E21" s="37">
        <f>IF(H21=0,0,SUMIF('[1]detalle1'!V:V,229,'[1]detalle1'!T:T)/SUMIF('[1]detalle1'!V:V,229,'[1]detalle1'!D:D))</f>
        <v>0</v>
      </c>
      <c r="F21" s="38">
        <f>COUNTIF('[1]detalle1'!V:V,129)</f>
        <v>117</v>
      </c>
      <c r="G21" s="39">
        <f>SUMIF('[1]detalle1'!V:V,129,'[1]detalle1'!D:D)</f>
        <v>105112.12999999993</v>
      </c>
      <c r="H21" s="40">
        <f>COUNTIF('[1]detalle1'!V:V,229)</f>
        <v>0</v>
      </c>
      <c r="I21" s="41">
        <f>SUMIF('[1]detalle1'!V:V,229,'[1]detalle1'!D:D)</f>
        <v>0</v>
      </c>
    </row>
    <row r="22" spans="1:9" ht="12.75" customHeight="1">
      <c r="A22" s="141" t="s">
        <v>97</v>
      </c>
      <c r="B22" s="142"/>
      <c r="C22" s="142"/>
      <c r="D22" s="28">
        <f aca="true" t="shared" si="0" ref="D22:I22">D23</f>
        <v>0</v>
      </c>
      <c r="E22" s="29">
        <f t="shared" si="0"/>
        <v>0</v>
      </c>
      <c r="F22" s="42">
        <f t="shared" si="0"/>
        <v>3</v>
      </c>
      <c r="G22" s="43">
        <f t="shared" si="0"/>
        <v>2313.52</v>
      </c>
      <c r="H22" s="44">
        <f t="shared" si="0"/>
        <v>0</v>
      </c>
      <c r="I22" s="33">
        <f t="shared" si="0"/>
        <v>0</v>
      </c>
    </row>
    <row r="23" spans="1:9" ht="12.75" customHeight="1">
      <c r="A23" s="34"/>
      <c r="B23" s="45" t="s">
        <v>28</v>
      </c>
      <c r="C23" s="46" t="s">
        <v>98</v>
      </c>
      <c r="D23" s="36">
        <f>IF(F23+H23=0,0,SUMIF('[1]detalle1'!S:S,69,'[1]detalle1'!T:T)/SUMIF('[1]detalle1'!S:S,69,'[1]detalle1'!D:D))</f>
        <v>0</v>
      </c>
      <c r="E23" s="37">
        <f>IF(H23=0,0,SUMIF('[1]detalle1'!V:V,269,'[1]detalle1'!T:T)/SUMIF('[1]detalle1'!V:V,269,'[1]detalle1'!D:D))</f>
        <v>0</v>
      </c>
      <c r="F23" s="38">
        <f>COUNTIF('[1]detalle1'!V:V,169)</f>
        <v>3</v>
      </c>
      <c r="G23" s="39">
        <f>SUMIF('[1]detalle1'!V:V,169,'[1]detalle1'!D:D)</f>
        <v>2313.52</v>
      </c>
      <c r="H23" s="40">
        <f>COUNTIF('[1]detalle1'!V:V,269)</f>
        <v>0</v>
      </c>
      <c r="I23" s="41">
        <f>SUMIF('[1]detalle1'!V:V,269,'[1]detalle1'!D:D)</f>
        <v>0</v>
      </c>
    </row>
    <row r="24" spans="1:9" ht="12.75" customHeight="1">
      <c r="A24" s="141" t="s">
        <v>99</v>
      </c>
      <c r="B24" s="142"/>
      <c r="C24" s="142"/>
      <c r="D24" s="28">
        <f aca="true" t="shared" si="1" ref="D24:I24">D25</f>
        <v>0</v>
      </c>
      <c r="E24" s="29">
        <f t="shared" si="1"/>
        <v>0</v>
      </c>
      <c r="F24" s="42">
        <f t="shared" si="1"/>
        <v>0</v>
      </c>
      <c r="G24" s="43">
        <f t="shared" si="1"/>
        <v>0</v>
      </c>
      <c r="H24" s="44">
        <f t="shared" si="1"/>
        <v>0</v>
      </c>
      <c r="I24" s="33">
        <f t="shared" si="1"/>
        <v>0</v>
      </c>
    </row>
    <row r="25" spans="1:9" ht="12.75" customHeight="1">
      <c r="A25" s="34"/>
      <c r="B25" s="124" t="s">
        <v>100</v>
      </c>
      <c r="C25" s="124"/>
      <c r="D25" s="47"/>
      <c r="E25" s="48"/>
      <c r="F25" s="49"/>
      <c r="G25" s="50"/>
      <c r="H25" s="51"/>
      <c r="I25" s="52"/>
    </row>
    <row r="26" spans="1:9" ht="12.75" customHeight="1" thickBot="1">
      <c r="A26" s="166" t="s">
        <v>87</v>
      </c>
      <c r="B26" s="167"/>
      <c r="C26" s="167"/>
      <c r="D26" s="53">
        <f>IF(G26+I26=0,0,(D16*(G16+I16)+D22*(G22+I22)+D24*(G24+I24))/(G26+I26))</f>
        <v>0</v>
      </c>
      <c r="E26" s="54">
        <f>IF(I26=0,0,(E16*I16+E22*I22+E24*I24)/I26)</f>
        <v>0</v>
      </c>
      <c r="F26" s="55">
        <f>F16+F22+F24</f>
        <v>150</v>
      </c>
      <c r="G26" s="56">
        <f>G16+G22+G24</f>
        <v>115736.79999999993</v>
      </c>
      <c r="H26" s="57">
        <f>H16+H22+H24</f>
        <v>0</v>
      </c>
      <c r="I26" s="58">
        <f>I16+I22+I24</f>
        <v>0</v>
      </c>
    </row>
    <row r="27" spans="1:9" ht="12.75" customHeight="1">
      <c r="A27" s="1" t="s">
        <v>32</v>
      </c>
      <c r="C27" s="1" t="s">
        <v>101</v>
      </c>
      <c r="D27" s="59">
        <f>IF(SUM('[1]detalle1'!D:D)=0,0,SUM('[1]detalle1'!T:T)/SUM('[1]detalle1'!D:D))-IF((G16+I16+G22+I22)=0,0,(D16*(G16+I16)+D22*(G22+I22))/(G16+I16+G22+I22))</f>
        <v>0</v>
      </c>
      <c r="E27" s="59">
        <f>IF(SUMIF('[1]detalle1'!V:V,"&gt;199",'[1]detalle1'!D:D)=0,0,SUMIF('[1]detalle1'!V:V,"&gt;199",'[1]detalle1'!T:T)/SUMIF('[1]detalle1'!V:V,"&gt;199",'[1]detalle1'!D:D))-IF(I16+I22=0,0,(E16*I16+E22*I22)/(I16+I22))</f>
        <v>0</v>
      </c>
      <c r="F27" s="59">
        <f>COUNTIF('[1]detalle1'!P:P,"&lt;=30")-F26+F25</f>
        <v>0</v>
      </c>
      <c r="G27" s="59">
        <f>SUMIF('[1]detalle1'!P:P,"&lt;=30",'[1]detalle1'!D:D)-G26+G25</f>
        <v>-2.9103830456733704E-11</v>
      </c>
      <c r="H27" s="59">
        <f>COUNTIF('[1]detalle1'!P:P,"&gt;30")-H26+H25</f>
        <v>0</v>
      </c>
      <c r="I27" s="59">
        <f>SUMIF('[1]detalle1'!P:P,"&gt;30",'[1]detalle1'!D:D)-I26+I25</f>
        <v>0</v>
      </c>
    </row>
    <row r="28" spans="4:9" ht="12.75" customHeight="1">
      <c r="D28" s="60"/>
      <c r="E28" s="60"/>
      <c r="F28" s="60"/>
      <c r="G28" s="60"/>
      <c r="H28" s="60"/>
      <c r="I28" s="60"/>
    </row>
    <row r="29" spans="4:9" ht="12.75" customHeight="1">
      <c r="D29" s="60"/>
      <c r="E29" s="60"/>
      <c r="F29" s="60"/>
      <c r="G29" s="60"/>
      <c r="H29" s="60"/>
      <c r="I29" s="60"/>
    </row>
    <row r="30" ht="13.5" thickBot="1">
      <c r="A30" s="21" t="s">
        <v>102</v>
      </c>
    </row>
    <row r="31" spans="1:7" ht="12.75" customHeight="1">
      <c r="A31" s="129" t="s">
        <v>103</v>
      </c>
      <c r="B31" s="130"/>
      <c r="C31" s="131"/>
      <c r="D31" s="135" t="s">
        <v>104</v>
      </c>
      <c r="E31" s="136"/>
      <c r="F31" s="136"/>
      <c r="G31" s="137"/>
    </row>
    <row r="32" spans="1:7" ht="12.75" customHeight="1">
      <c r="A32" s="132"/>
      <c r="B32" s="133"/>
      <c r="C32" s="134"/>
      <c r="D32" s="25" t="s">
        <v>105</v>
      </c>
      <c r="E32" s="26" t="s">
        <v>37</v>
      </c>
      <c r="F32" s="26" t="s">
        <v>90</v>
      </c>
      <c r="G32" s="27" t="s">
        <v>37</v>
      </c>
    </row>
    <row r="33" spans="1:7" ht="12.75" customHeight="1">
      <c r="A33" s="34"/>
      <c r="B33" s="113" t="s">
        <v>106</v>
      </c>
      <c r="C33" s="114"/>
      <c r="D33" s="61">
        <f>COUNTIF('[1]detalle1'!P:P,"&lt;=30")+F25</f>
        <v>150</v>
      </c>
      <c r="E33" s="62">
        <f>IF($D$38=0,0,D33*100/$D$38)</f>
        <v>100</v>
      </c>
      <c r="F33" s="62">
        <f>SUMIF('[1]detalle1'!P:P,"&lt;=30",'[1]detalle1'!D:D)+G25</f>
        <v>115736.7999999999</v>
      </c>
      <c r="G33" s="63">
        <f>IF($F$38=0,0,F33*100/$F$38)</f>
        <v>100</v>
      </c>
    </row>
    <row r="34" spans="1:7" ht="12.75" customHeight="1">
      <c r="A34" s="34"/>
      <c r="B34" s="111" t="s">
        <v>107</v>
      </c>
      <c r="C34" s="112"/>
      <c r="D34" s="64">
        <f>COUNTIF('[1]detalle1'!P:P,"&lt;=40")-D33+F25+IF(AND(E25&gt;30,E25&lt;=40),H25)</f>
        <v>0</v>
      </c>
      <c r="E34" s="39">
        <f>IF($D$38=0,0,D34*100/$D$38)</f>
        <v>0</v>
      </c>
      <c r="F34" s="39">
        <f>SUMIF('[1]detalle1'!P:P,"&lt;=40",'[1]detalle1'!D:D)-F33+G25+IF(AND(E25&gt;30,E25&lt;=40),I25)</f>
        <v>0</v>
      </c>
      <c r="G34" s="41">
        <f>IF($F$38=0,0,F34*100/$F$38)</f>
        <v>0</v>
      </c>
    </row>
    <row r="35" spans="1:7" ht="12.75" customHeight="1">
      <c r="A35" s="34"/>
      <c r="B35" s="65" t="s">
        <v>108</v>
      </c>
      <c r="C35" s="66"/>
      <c r="D35" s="64">
        <f>COUNTIF('[1]detalle1'!P:P,"&lt;=50")-SUM(D33:D34)+F25+IF(E25&lt;=50,H25)</f>
        <v>0</v>
      </c>
      <c r="E35" s="39">
        <f>IF($D$38=0,0,D35*100/$D$38)</f>
        <v>0</v>
      </c>
      <c r="F35" s="39">
        <f>SUMIF('[1]detalle1'!P:P,"&lt;=50",'[1]detalle1'!D:D)-SUM(F33:F34)+G25+IF(E25&lt;=50,I25)</f>
        <v>0</v>
      </c>
      <c r="G35" s="41">
        <f>IF($F$38=0,0,F35*100/$F$38)</f>
        <v>0</v>
      </c>
    </row>
    <row r="36" spans="1:7" ht="12.75" customHeight="1">
      <c r="A36" s="34"/>
      <c r="B36" s="113" t="s">
        <v>107</v>
      </c>
      <c r="C36" s="114"/>
      <c r="D36" s="64">
        <f>COUNTIF('[1]detalle1'!P:P,"&lt;=60")-SUM(D33:D35)+F25+IF(E25&lt;=60,H25)</f>
        <v>0</v>
      </c>
      <c r="E36" s="39">
        <f>IF($D$38=0,0,D36*100/$D$38)</f>
        <v>0</v>
      </c>
      <c r="F36" s="39">
        <f>SUMIF('[1]detalle1'!P:P,"&lt;=60",'[1]detalle1'!D:D)-SUM(F33:F35)+G25+IF(E25&lt;=60,I25)</f>
        <v>0</v>
      </c>
      <c r="G36" s="41">
        <f>IF($F$38=0,0,F36*100/$F$38)</f>
        <v>0</v>
      </c>
    </row>
    <row r="37" spans="1:7" ht="12.75" customHeight="1">
      <c r="A37" s="67"/>
      <c r="B37" s="124" t="s">
        <v>109</v>
      </c>
      <c r="C37" s="125"/>
      <c r="D37" s="68">
        <f>COUNTIF('[1]detalle1'!P:P,"&gt;60")+IF(E25&gt;60,H25)</f>
        <v>0</v>
      </c>
      <c r="E37" s="39">
        <f>IF($D$38=0,0,D37*100/$D$38)</f>
        <v>0</v>
      </c>
      <c r="F37" s="69">
        <f>SUMIF('[1]detalle1'!P:P,"&gt;60",'[1]detalle1'!D:D)+IF(E25&gt;60,I25)</f>
        <v>0</v>
      </c>
      <c r="G37" s="41">
        <f>IF($F$38=0,0,F37*100/$F$38)</f>
        <v>0</v>
      </c>
    </row>
    <row r="38" spans="1:7" ht="12.75" customHeight="1" thickBot="1">
      <c r="A38" s="163" t="s">
        <v>87</v>
      </c>
      <c r="B38" s="164"/>
      <c r="C38" s="165"/>
      <c r="D38" s="70">
        <f>SUM(D33:D37)</f>
        <v>150</v>
      </c>
      <c r="E38" s="71">
        <f>SUM(E33:E37)</f>
        <v>100</v>
      </c>
      <c r="F38" s="71">
        <f>SUM(F33:F37)</f>
        <v>115736.7999999999</v>
      </c>
      <c r="G38" s="58">
        <f>SUM(G33:G37)</f>
        <v>100</v>
      </c>
    </row>
    <row r="39" spans="1:6" ht="12.75" customHeight="1">
      <c r="A39" s="72"/>
      <c r="B39" s="72"/>
      <c r="C39" s="72"/>
      <c r="D39" s="59">
        <f>COUNT('[1]detalle1'!D:D)-D38+F25+H25</f>
        <v>0</v>
      </c>
      <c r="E39" s="59"/>
      <c r="F39" s="59">
        <f>SUM('[1]detalle1'!D:D)-F38+G25+I25</f>
        <v>0</v>
      </c>
    </row>
    <row r="40" spans="1:6" ht="12.75" customHeight="1">
      <c r="A40" s="72"/>
      <c r="B40" s="72"/>
      <c r="C40" s="72"/>
      <c r="D40" s="59">
        <f>F26+H26-D38</f>
        <v>0</v>
      </c>
      <c r="E40" s="59"/>
      <c r="F40" s="59">
        <f>G26+I26-F38</f>
        <v>0</v>
      </c>
    </row>
    <row r="41" spans="1:6" ht="12.75" customHeight="1">
      <c r="A41" s="72"/>
      <c r="B41" s="72"/>
      <c r="C41" s="72"/>
      <c r="D41" s="16"/>
      <c r="E41" s="16"/>
      <c r="F41" s="60"/>
    </row>
    <row r="42" s="2" customFormat="1" ht="15.75">
      <c r="A42" s="19" t="s">
        <v>110</v>
      </c>
    </row>
    <row r="43" ht="12.75" customHeight="1">
      <c r="A43" s="20"/>
    </row>
    <row r="44" ht="12.75" customHeight="1" thickBot="1">
      <c r="A44" s="20"/>
    </row>
    <row r="45" spans="1:9" ht="12.75" customHeight="1">
      <c r="A45" s="129" t="s">
        <v>111</v>
      </c>
      <c r="B45" s="130"/>
      <c r="C45" s="151"/>
      <c r="D45" s="153" t="s">
        <v>82</v>
      </c>
      <c r="E45" s="154"/>
      <c r="F45" s="155" t="s">
        <v>112</v>
      </c>
      <c r="G45" s="156"/>
      <c r="H45" s="156"/>
      <c r="I45" s="157"/>
    </row>
    <row r="46" spans="1:9" ht="12.75" customHeight="1">
      <c r="A46" s="132"/>
      <c r="B46" s="133"/>
      <c r="C46" s="152"/>
      <c r="D46" s="158" t="s">
        <v>84</v>
      </c>
      <c r="E46" s="159"/>
      <c r="F46" s="160" t="s">
        <v>85</v>
      </c>
      <c r="G46" s="161"/>
      <c r="H46" s="161" t="s">
        <v>86</v>
      </c>
      <c r="I46" s="162"/>
    </row>
    <row r="47" spans="1:9" ht="22.5">
      <c r="A47" s="132"/>
      <c r="B47" s="133"/>
      <c r="C47" s="152"/>
      <c r="D47" s="23" t="s">
        <v>87</v>
      </c>
      <c r="E47" s="24" t="s">
        <v>88</v>
      </c>
      <c r="F47" s="25" t="s">
        <v>113</v>
      </c>
      <c r="G47" s="26" t="s">
        <v>90</v>
      </c>
      <c r="H47" s="26" t="str">
        <f>+F47</f>
        <v>Número de operaciones</v>
      </c>
      <c r="I47" s="27" t="str">
        <f>+G47</f>
        <v>Importe total</v>
      </c>
    </row>
    <row r="48" spans="1:9" ht="12.75" customHeight="1">
      <c r="A48" s="138" t="s">
        <v>91</v>
      </c>
      <c r="B48" s="139"/>
      <c r="C48" s="140"/>
      <c r="D48" s="28">
        <f>IF(G48+I48=0,0,(D49*(G49+I49)+D50*(G50+I50)+D51*(G51+I51)+D52*(G52+I52)+D53*(G53+I53))/(G48+I48))</f>
        <v>0</v>
      </c>
      <c r="E48" s="29">
        <f>IF(I48=0,0,(E49*I49+E50*I50+E51*I51+E52*I52+E53*I53)/I48)</f>
        <v>0</v>
      </c>
      <c r="F48" s="30">
        <f>SUM(F49:F53)</f>
        <v>0</v>
      </c>
      <c r="G48" s="31">
        <f>SUM(G49:G53)</f>
        <v>0</v>
      </c>
      <c r="H48" s="32">
        <f>SUM(H49:H53)</f>
        <v>0</v>
      </c>
      <c r="I48" s="33">
        <f>SUM(I49:I53)</f>
        <v>0</v>
      </c>
    </row>
    <row r="49" spans="1:9" ht="12.75" customHeight="1">
      <c r="A49" s="34"/>
      <c r="B49" s="35" t="s">
        <v>17</v>
      </c>
      <c r="C49" s="16" t="str">
        <f>+C17</f>
        <v>Arrendamientos y cánones</v>
      </c>
      <c r="D49" s="36">
        <f>IF(F49+H49=0,0,SUMIF('[1]detalle2'!S:S,20,'[1]detalle2'!T:T)/SUMIF('[1]detalle2'!S:S,20,'[1]detalle2'!D:D))</f>
        <v>0</v>
      </c>
      <c r="E49" s="37">
        <f>IF(H49=0,0,SUMIF('[1]detalle2'!V:V,220,'[1]detalle2'!T:T)/SUMIF('[1]detalle2'!V:V,220,'[1]detalle2'!D:D))</f>
        <v>0</v>
      </c>
      <c r="F49" s="38">
        <f>COUNTIF('[1]detalle2'!V:V,120)</f>
        <v>0</v>
      </c>
      <c r="G49" s="39">
        <f>SUMIF('[1]detalle2'!V:V,120,'[1]detalle2'!D:D)</f>
        <v>0</v>
      </c>
      <c r="H49" s="40">
        <f>COUNTIF('[1]detalle2'!V:V,220)</f>
        <v>0</v>
      </c>
      <c r="I49" s="41">
        <f>SUMIF('[1]detalle2'!V:V,220,'[1]detalle2'!D:D)</f>
        <v>0</v>
      </c>
    </row>
    <row r="50" spans="1:9" ht="12.75" customHeight="1">
      <c r="A50" s="34"/>
      <c r="B50" s="35" t="s">
        <v>19</v>
      </c>
      <c r="C50" s="16" t="str">
        <f>+C18</f>
        <v>Reparaciones, mantenimiento y conservación</v>
      </c>
      <c r="D50" s="36">
        <f>IF(F50+H50=0,0,SUMIF('[1]detalle2'!S:S,21,'[1]detalle2'!T:T)/SUMIF('[1]detalle2'!S:S,21,'[1]detalle2'!D:D))</f>
        <v>0</v>
      </c>
      <c r="E50" s="37">
        <f>IF(H50=0,0,SUMIF('[1]detalle2'!V:V,221,'[1]detalle2'!T:T)/SUMIF('[1]detalle2'!V:V,221,'[1]detalle2'!D:D))</f>
        <v>0</v>
      </c>
      <c r="F50" s="38">
        <f>COUNTIF('[1]detalle2'!V:V,121)</f>
        <v>0</v>
      </c>
      <c r="G50" s="39">
        <f>SUMIF('[1]detalle2'!V:V,121,'[1]detalle2'!D:D)</f>
        <v>0</v>
      </c>
      <c r="H50" s="40">
        <f>COUNTIF('[1]detalle2'!V:V,221)</f>
        <v>0</v>
      </c>
      <c r="I50" s="41">
        <f>SUMIF('[1]detalle2'!V:V,221,'[1]detalle2'!D:D)</f>
        <v>0</v>
      </c>
    </row>
    <row r="51" spans="1:9" ht="12.75" customHeight="1">
      <c r="A51" s="34"/>
      <c r="B51" s="35" t="s">
        <v>21</v>
      </c>
      <c r="C51" s="16" t="str">
        <f>+C19</f>
        <v>Material, suministros y otros</v>
      </c>
      <c r="D51" s="36">
        <f>IF(F51+H51=0,0,SUMIF('[1]detalle2'!S:S,22,'[1]detalle2'!T:T)/SUMIF('[1]detalle2'!S:S,22,'[1]detalle2'!D:D))</f>
        <v>0</v>
      </c>
      <c r="E51" s="37">
        <f>IF(H51=0,0,SUMIF('[1]detalle2'!V:V,222,'[1]detalle2'!T:T)/SUMIF('[1]detalle2'!V:V,222,'[1]detalle2'!D:D))</f>
        <v>0</v>
      </c>
      <c r="F51" s="38">
        <f>COUNTIF('[1]detalle2'!V:V,122)</f>
        <v>0</v>
      </c>
      <c r="G51" s="39">
        <f>SUMIF('[1]detalle2'!V:V,122,'[1]detalle2'!D:D)</f>
        <v>0</v>
      </c>
      <c r="H51" s="40">
        <f>COUNTIF('[1]detalle2'!V:V,222)</f>
        <v>0</v>
      </c>
      <c r="I51" s="41">
        <f>SUMIF('[1]detalle2'!V:V,222,'[1]detalle2'!D:D)</f>
        <v>0</v>
      </c>
    </row>
    <row r="52" spans="1:9" ht="12.75" customHeight="1">
      <c r="A52" s="34"/>
      <c r="B52" s="35" t="s">
        <v>23</v>
      </c>
      <c r="C52" s="16" t="str">
        <f>+C20</f>
        <v>Indemnizaciones por razón del servicio</v>
      </c>
      <c r="D52" s="36">
        <f>IF(F52+H52=0,0,SUMIF('[1]detalle2'!S:S,23,'[1]detalle2'!T:T)/SUMIF('[1]detalle2'!S:S,23,'[1]detalle2'!D:D))</f>
        <v>0</v>
      </c>
      <c r="E52" s="37">
        <f>IF(H52=0,0,SUMIF('[1]detalle2'!V:V,223,'[1]detalle2'!T:T)/SUMIF('[1]detalle2'!V:V,223,'[1]detalle2'!D:D))</f>
        <v>0</v>
      </c>
      <c r="F52" s="38">
        <f>COUNTIF('[1]detalle2'!V:V,123)</f>
        <v>0</v>
      </c>
      <c r="G52" s="39">
        <f>SUMIF('[1]detalle2'!V:V,123,'[1]detalle2'!D:D)</f>
        <v>0</v>
      </c>
      <c r="H52" s="40">
        <f>COUNTIF('[1]detalle2'!V:V,223)</f>
        <v>0</v>
      </c>
      <c r="I52" s="41">
        <f>SUMIF('[1]detalle2'!V:V,223,'[1]detalle2'!D:D)</f>
        <v>0</v>
      </c>
    </row>
    <row r="53" spans="1:9" ht="12.75" customHeight="1">
      <c r="A53" s="34"/>
      <c r="B53" s="35" t="s">
        <v>51</v>
      </c>
      <c r="C53" s="16" t="str">
        <f>+C21</f>
        <v>Otros</v>
      </c>
      <c r="D53" s="36">
        <f>IF(F53+H53=0,0,SUMIF('[1]detalle2'!S:S,29,'[1]detalle2'!T:T)/SUMIF('[1]detalle2'!S:S,29,'[1]detalle2'!D:D))</f>
        <v>0</v>
      </c>
      <c r="E53" s="37">
        <f>IF(H53=0,0,SUMIF('[1]detalle2'!V:V,229,'[1]detalle2'!T:T)/SUMIF('[1]detalle2'!V:V,229,'[1]detalle2'!D:D))</f>
        <v>0</v>
      </c>
      <c r="F53" s="38">
        <f>COUNTIF('[1]detalle2'!V:V,129)</f>
        <v>0</v>
      </c>
      <c r="G53" s="39">
        <f>SUMIF('[1]detalle2'!V:V,129,'[1]detalle2'!D:D)</f>
        <v>0</v>
      </c>
      <c r="H53" s="40">
        <f>COUNTIF('[1]detalle2'!V:V,229)</f>
        <v>0</v>
      </c>
      <c r="I53" s="41">
        <f>SUMIF('[1]detalle2'!V:V,229,'[1]detalle2'!D:D)</f>
        <v>0</v>
      </c>
    </row>
    <row r="54" spans="1:9" ht="12.75" customHeight="1">
      <c r="A54" s="141" t="s">
        <v>98</v>
      </c>
      <c r="B54" s="142"/>
      <c r="C54" s="142"/>
      <c r="D54" s="28">
        <f aca="true" t="shared" si="2" ref="D54:I54">D55</f>
        <v>0</v>
      </c>
      <c r="E54" s="29">
        <f t="shared" si="2"/>
        <v>0</v>
      </c>
      <c r="F54" s="42">
        <f t="shared" si="2"/>
        <v>0</v>
      </c>
      <c r="G54" s="43">
        <f t="shared" si="2"/>
        <v>0</v>
      </c>
      <c r="H54" s="44">
        <f t="shared" si="2"/>
        <v>0</v>
      </c>
      <c r="I54" s="33">
        <f t="shared" si="2"/>
        <v>0</v>
      </c>
    </row>
    <row r="55" spans="1:9" ht="12.75" customHeight="1">
      <c r="A55" s="34"/>
      <c r="B55" s="73">
        <v>69</v>
      </c>
      <c r="C55" s="46" t="str">
        <f>+C23</f>
        <v>Inversiones reales</v>
      </c>
      <c r="D55" s="36">
        <f>IF(F55+H55=0,0,SUMIF('[1]detalle2'!S:S,69,'[1]detalle2'!T:T)/SUMIF('[1]detalle2'!S:S,69,'[1]detalle2'!D:D))</f>
        <v>0</v>
      </c>
      <c r="E55" s="37">
        <f>IF(H55=0,0,SUMIF('[1]detalle2'!V:V,269,'[1]detalle2'!T:T)/SUMIF('[1]detalle2'!V:V,269,'[1]detalle2'!D:D))</f>
        <v>0</v>
      </c>
      <c r="F55" s="38">
        <f>COUNTIF('[1]detalle2'!V:V,169)</f>
        <v>0</v>
      </c>
      <c r="G55" s="39">
        <f>SUMIF('[1]detalle2'!V:V,169,'[1]detalle2'!D:D)</f>
        <v>0</v>
      </c>
      <c r="H55" s="40">
        <f>COUNTIF('[1]detalle2'!V:V,269)</f>
        <v>0</v>
      </c>
      <c r="I55" s="41">
        <f>SUMIF('[1]detalle2'!V:V,269,'[1]detalle2'!D:D)</f>
        <v>0</v>
      </c>
    </row>
    <row r="56" spans="1:9" ht="12.75" customHeight="1">
      <c r="A56" s="143" t="str">
        <f>+A24</f>
        <v>Pagos pendientes de aplicar al presupuesto*</v>
      </c>
      <c r="B56" s="144"/>
      <c r="C56" s="145"/>
      <c r="D56" s="28">
        <f aca="true" t="shared" si="3" ref="D56:I56">D57</f>
        <v>0</v>
      </c>
      <c r="E56" s="29">
        <f t="shared" si="3"/>
        <v>0</v>
      </c>
      <c r="F56" s="42">
        <f t="shared" si="3"/>
        <v>0</v>
      </c>
      <c r="G56" s="43">
        <f t="shared" si="3"/>
        <v>0</v>
      </c>
      <c r="H56" s="44">
        <f t="shared" si="3"/>
        <v>0</v>
      </c>
      <c r="I56" s="33">
        <f t="shared" si="3"/>
        <v>0</v>
      </c>
    </row>
    <row r="57" spans="1:9" ht="12.75" customHeight="1">
      <c r="A57" s="34"/>
      <c r="B57" s="146" t="str">
        <f>+B25</f>
        <v>Pagos pendientes de aplicar al presupuesto</v>
      </c>
      <c r="C57" s="147"/>
      <c r="D57" s="47"/>
      <c r="E57" s="48"/>
      <c r="F57" s="49"/>
      <c r="G57" s="50"/>
      <c r="H57" s="51"/>
      <c r="I57" s="52"/>
    </row>
    <row r="58" spans="1:9" ht="12.75" customHeight="1" thickBot="1">
      <c r="A58" s="148" t="str">
        <f>+A26</f>
        <v>Total</v>
      </c>
      <c r="B58" s="149"/>
      <c r="C58" s="150"/>
      <c r="D58" s="53">
        <f>IF(G58+I58=0,0,(D48*(G48+I48)+D54*(G54+I54)+D56*(G56+I56))/(G58+I58))</f>
        <v>0</v>
      </c>
      <c r="E58" s="54">
        <f>IF(I58=0,0,(E48*I48+E54*I54+E56*I56)/I58)</f>
        <v>0</v>
      </c>
      <c r="F58" s="55">
        <f>F48+F54+F56</f>
        <v>0</v>
      </c>
      <c r="G58" s="56">
        <f>G48+G54+G56</f>
        <v>0</v>
      </c>
      <c r="H58" s="57">
        <f>H48+H54+H56</f>
        <v>0</v>
      </c>
      <c r="I58" s="58">
        <f>I48+I54+I56</f>
        <v>0</v>
      </c>
    </row>
    <row r="59" spans="1:9" ht="12.75" customHeight="1">
      <c r="A59" s="1" t="s">
        <v>114</v>
      </c>
      <c r="D59" s="59">
        <f>IF(SUM('[1]detalle2'!D:D)=0,0,SUM('[1]detalle2'!T:T)/SUM('[1]detalle2'!D:D))-IF((G48+I48+G54+I54)=0,0,(D48*(G48+I48)+D54*(G54+I54))/(G48+I48+G54+I54))</f>
        <v>0</v>
      </c>
      <c r="E59" s="59">
        <f>IF(SUMIF('[1]detalle2'!V:V,"&gt;199",'[1]detalle2'!D:D)=0,0,SUMIF('[1]detalle2'!V:V,"&gt;199",'[1]detalle2'!T:T)/SUMIF('[1]detalle2'!V:V,"&gt;199",'[1]detalle2'!D:D))-IF(I48+I54=0,0,(E48*I48+E54*I54)/(I48+I54))</f>
        <v>0</v>
      </c>
      <c r="F59" s="59">
        <f>COUNTIF('[1]detalle2'!P:P,"&lt;=30")-F58+F57</f>
        <v>0</v>
      </c>
      <c r="G59" s="59">
        <f>SUMIF('[1]detalle2'!P:P,"&lt;=30",'[1]detalle2'!D:D)-G58+G57</f>
        <v>0</v>
      </c>
      <c r="H59" s="59">
        <f>COUNTIF('[1]detalle2'!P:P,"&gt;30")-H58+H57</f>
        <v>0</v>
      </c>
      <c r="I59" s="59">
        <f>SUMIF('[1]detalle2'!P:P,"&gt;30",'[1]detalle2'!D:D)-I58+I57</f>
        <v>0</v>
      </c>
    </row>
    <row r="60" spans="4:9" ht="12.75" customHeight="1">
      <c r="D60" s="60"/>
      <c r="E60" s="60"/>
      <c r="F60" s="60"/>
      <c r="G60" s="60"/>
      <c r="H60" s="60"/>
      <c r="I60" s="60"/>
    </row>
    <row r="63" spans="1:9" s="2" customFormat="1" ht="15.75">
      <c r="A63" s="74" t="s">
        <v>115</v>
      </c>
      <c r="B63" s="75"/>
      <c r="C63" s="75"/>
      <c r="D63" s="75"/>
      <c r="E63" s="75"/>
      <c r="F63" s="75"/>
      <c r="G63" s="75"/>
      <c r="H63" s="75"/>
      <c r="I63" s="75"/>
    </row>
    <row r="64" spans="1:9" ht="12.75" customHeight="1">
      <c r="A64" s="76"/>
      <c r="B64" s="60"/>
      <c r="C64" s="60"/>
      <c r="D64" s="60"/>
      <c r="E64" s="60"/>
      <c r="F64" s="60"/>
      <c r="G64" s="60"/>
      <c r="H64" s="60"/>
      <c r="I64" s="60"/>
    </row>
    <row r="65" spans="1:9" ht="12.75" customHeight="1">
      <c r="A65" s="76"/>
      <c r="B65" s="60"/>
      <c r="C65" s="60"/>
      <c r="D65" s="60"/>
      <c r="E65" s="60"/>
      <c r="F65" s="60"/>
      <c r="G65" s="60"/>
      <c r="H65" s="60"/>
      <c r="I65" s="60"/>
    </row>
    <row r="66" s="22" customFormat="1" ht="13.5" thickBot="1">
      <c r="A66" s="21" t="s">
        <v>116</v>
      </c>
    </row>
    <row r="67" spans="1:7" ht="33.75">
      <c r="A67" s="129" t="s">
        <v>117</v>
      </c>
      <c r="B67" s="130"/>
      <c r="C67" s="131"/>
      <c r="D67" s="77" t="s">
        <v>118</v>
      </c>
      <c r="E67" s="78" t="s">
        <v>119</v>
      </c>
      <c r="F67" s="79" t="s">
        <v>90</v>
      </c>
      <c r="G67" s="80"/>
    </row>
    <row r="68" spans="1:6" ht="12.75" customHeight="1">
      <c r="A68" s="81"/>
      <c r="B68" s="109" t="s">
        <v>16</v>
      </c>
      <c r="C68" s="110"/>
      <c r="D68" s="82">
        <f>IF(E68=0,0,SUMIF('[1]detalle32'!T:T,22,'[1]detalle32'!R:R)/SUMIF('[1]detalle32'!T:T,22,'[1]detalle32'!D:D))</f>
        <v>0</v>
      </c>
      <c r="E68" s="83">
        <f>COUNTIF('[1]detalle32'!T:T,22)</f>
        <v>0</v>
      </c>
      <c r="F68" s="41">
        <f>SUMIF('[1]detalle32'!T:T,22,'[1]detalle32'!D:D)</f>
        <v>0</v>
      </c>
    </row>
    <row r="69" spans="1:6" ht="12.75" customHeight="1">
      <c r="A69" s="34"/>
      <c r="B69" s="111" t="s">
        <v>27</v>
      </c>
      <c r="C69" s="112"/>
      <c r="D69" s="82">
        <f>IF(E69=0,0,SUMIF('[1]detalle32'!T:T,26,'[1]detalle32'!R:R)/SUMIF('[1]detalle32'!T:T,26,'[1]detalle32'!D:D))</f>
        <v>0</v>
      </c>
      <c r="E69" s="83">
        <f>COUNTIF('[1]detalle32'!T:T,26)</f>
        <v>0</v>
      </c>
      <c r="F69" s="41">
        <f>SUMIF('[1]detalle32'!T:T,26,'[1]detalle32'!D:D)</f>
        <v>0</v>
      </c>
    </row>
    <row r="70" spans="1:6" ht="12.75" customHeight="1">
      <c r="A70" s="67"/>
      <c r="B70" s="124" t="s">
        <v>53</v>
      </c>
      <c r="C70" s="125"/>
      <c r="D70" s="82">
        <f>IF(E70=0,0,SUMIF('[1]detalle32'!T:T,29,'[1]detalle32'!R:R)/SUMIF('[1]detalle32'!T:T,29,'[1]detalle32'!D:D))</f>
        <v>0</v>
      </c>
      <c r="E70" s="83">
        <f>COUNTIF('[1]detalle32'!T:T,29)</f>
        <v>0</v>
      </c>
      <c r="F70" s="41">
        <f>SUMIF('[1]detalle32'!T:T,29,'[1]detalle32'!D:D)</f>
        <v>0</v>
      </c>
    </row>
    <row r="71" spans="1:6" ht="12.75" customHeight="1" thickBot="1">
      <c r="A71" s="126" t="s">
        <v>87</v>
      </c>
      <c r="B71" s="127"/>
      <c r="C71" s="128"/>
      <c r="D71" s="84">
        <f>IF(F71=0,0,(D68*F68+D69*F69+D70*F70)/F71)</f>
        <v>0</v>
      </c>
      <c r="E71" s="57">
        <f>SUM(E68:E70)</f>
        <v>0</v>
      </c>
      <c r="F71" s="85">
        <f>SUM(F68:F70)</f>
        <v>0</v>
      </c>
    </row>
    <row r="72" spans="4:6" ht="12.75" customHeight="1">
      <c r="D72" s="59">
        <f>IF(D73=0,0,(SUMIF('[1]detalle32'!O:O,"&gt;90",'[1]detalle32'!R:R)/SUMIF('[1]detalle32'!O:O,"&gt;90",'[1]detalle32'!D:D)))-IF(D71="",0,D71)</f>
        <v>0</v>
      </c>
      <c r="E72" s="59">
        <f>COUNTIF('[1]detalle32'!O:O,"&gt;90")-E71</f>
        <v>0</v>
      </c>
      <c r="F72" s="59">
        <f>SUMIF('[1]detalle32'!O:O,"&gt;90",'[1]detalle32'!D:D)-F71</f>
        <v>0</v>
      </c>
    </row>
    <row r="73" spans="4:6" ht="12.75" customHeight="1">
      <c r="D73" s="86">
        <f>SUMIF('[1]detalle32'!O:O,"&gt;90",'[1]detalle32'!D:D)</f>
        <v>0</v>
      </c>
      <c r="E73" s="60"/>
      <c r="F73" s="60"/>
    </row>
    <row r="74" s="22" customFormat="1" ht="13.5" thickBot="1">
      <c r="A74" s="21" t="s">
        <v>120</v>
      </c>
    </row>
    <row r="75" spans="1:7" ht="12.75" customHeight="1">
      <c r="A75" s="129" t="s">
        <v>121</v>
      </c>
      <c r="B75" s="130"/>
      <c r="C75" s="131"/>
      <c r="D75" s="135" t="s">
        <v>122</v>
      </c>
      <c r="E75" s="136"/>
      <c r="F75" s="136"/>
      <c r="G75" s="137"/>
    </row>
    <row r="76" spans="1:7" ht="12.75" customHeight="1">
      <c r="A76" s="132"/>
      <c r="B76" s="133"/>
      <c r="C76" s="134"/>
      <c r="D76" s="25" t="s">
        <v>105</v>
      </c>
      <c r="E76" s="26" t="s">
        <v>37</v>
      </c>
      <c r="F76" s="26" t="s">
        <v>90</v>
      </c>
      <c r="G76" s="27" t="s">
        <v>37</v>
      </c>
    </row>
    <row r="77" spans="1:7" ht="12.75" customHeight="1">
      <c r="A77" s="81"/>
      <c r="B77" s="109" t="s">
        <v>38</v>
      </c>
      <c r="C77" s="110"/>
      <c r="D77" s="38">
        <f>COUNTIF('[1]detalle32'!O:O,"&lt;=30")</f>
        <v>27</v>
      </c>
      <c r="E77" s="87">
        <f>IF($D$81=0,0,D77*100/$D$81)</f>
        <v>93.10344827586206</v>
      </c>
      <c r="F77" s="39">
        <f>SUMIF('[1]detalle32'!O:O,"&lt;=30",'[1]detalle32'!D:D)</f>
        <v>9585.799999999997</v>
      </c>
      <c r="G77" s="88">
        <f>IF($F$81=0,0,F77*100/$F$81)</f>
        <v>92.08473586326677</v>
      </c>
    </row>
    <row r="78" spans="1:7" ht="12.75" customHeight="1">
      <c r="A78" s="34"/>
      <c r="B78" s="111" t="s">
        <v>62</v>
      </c>
      <c r="C78" s="112"/>
      <c r="D78" s="38">
        <f>COUNTIF('[1]detalle32'!O:O,"&lt;=60")-D77</f>
        <v>2</v>
      </c>
      <c r="E78" s="87">
        <f>IF($D$81=0,0,D78*100/$D$81)</f>
        <v>6.896551724137931</v>
      </c>
      <c r="F78" s="39">
        <f>SUMIF('[1]detalle32'!O:O,"&lt;=60",'[1]detalle32'!D:D)-F77</f>
        <v>823.960000000001</v>
      </c>
      <c r="G78" s="88">
        <f>IF($F$81=0,0,F78*100/$F$81)</f>
        <v>7.915264136733229</v>
      </c>
    </row>
    <row r="79" spans="1:7" ht="12.75" customHeight="1">
      <c r="A79" s="34"/>
      <c r="B79" s="113" t="s">
        <v>63</v>
      </c>
      <c r="C79" s="114"/>
      <c r="D79" s="38">
        <f>COUNTIF('[1]detalle32'!O:O,"&lt;=90")-SUM(D77:D78)</f>
        <v>0</v>
      </c>
      <c r="E79" s="87">
        <f>IF($D$81=0,0,D79*100/$D$81)</f>
        <v>0</v>
      </c>
      <c r="F79" s="39">
        <f>SUMIF('[1]detalle32'!O:O,"&lt;=90",'[1]detalle32'!D:D)-SUM(F77:F78)</f>
        <v>0</v>
      </c>
      <c r="G79" s="88">
        <f>IF($F$81=0,0,F79*100/$F$81)</f>
        <v>0</v>
      </c>
    </row>
    <row r="80" spans="1:7" ht="12.75" customHeight="1">
      <c r="A80" s="34"/>
      <c r="B80" s="113" t="s">
        <v>64</v>
      </c>
      <c r="C80" s="114"/>
      <c r="D80" s="38">
        <f>COUNTIF('[1]detalle32'!O:O,"&gt;90")</f>
        <v>0</v>
      </c>
      <c r="E80" s="87">
        <f>IF($D$81=0,0,D80*100/$D$81)</f>
        <v>0</v>
      </c>
      <c r="F80" s="39">
        <f>SUMIF('[1]detalle32'!O:O,"&gt;90",'[1]detalle32'!D:D)</f>
        <v>0</v>
      </c>
      <c r="G80" s="88">
        <f>IF($F$81=0,0,F80*100/$F$81)</f>
        <v>0</v>
      </c>
    </row>
    <row r="81" spans="1:7" ht="12.75" customHeight="1" thickBot="1">
      <c r="A81" s="115" t="s">
        <v>87</v>
      </c>
      <c r="B81" s="116"/>
      <c r="C81" s="117"/>
      <c r="D81" s="55">
        <f>SUM(D77:D80)</f>
        <v>29</v>
      </c>
      <c r="E81" s="89">
        <f>SUM(E77:E80)</f>
        <v>100</v>
      </c>
      <c r="F81" s="56">
        <f>SUM(F77:F80)</f>
        <v>10409.759999999998</v>
      </c>
      <c r="G81" s="90">
        <f>SUM(G77:G80)</f>
        <v>100</v>
      </c>
    </row>
    <row r="82" spans="1:7" ht="12.75" customHeight="1">
      <c r="A82" s="72"/>
      <c r="B82" s="72"/>
      <c r="C82" s="72"/>
      <c r="D82" s="59">
        <f>COUNT('[1]detalle32'!D:D)-D81</f>
        <v>0</v>
      </c>
      <c r="E82" s="59"/>
      <c r="F82" s="59">
        <f>SUM('[1]detalle32'!D:D)-F81</f>
        <v>0</v>
      </c>
      <c r="G82" s="60"/>
    </row>
    <row r="83" spans="1:7" ht="12.75" customHeight="1">
      <c r="A83" s="72"/>
      <c r="B83" s="72"/>
      <c r="C83" s="72"/>
      <c r="D83" s="59">
        <f>E71-D80</f>
        <v>0</v>
      </c>
      <c r="E83" s="59"/>
      <c r="F83" s="59">
        <f>F71-F80</f>
        <v>0</v>
      </c>
      <c r="G83" s="60"/>
    </row>
    <row r="84" spans="1:7" ht="12.75" customHeight="1">
      <c r="A84" s="72"/>
      <c r="B84" s="72"/>
      <c r="C84" s="72"/>
      <c r="D84" s="16"/>
      <c r="E84" s="16"/>
      <c r="F84" s="60"/>
      <c r="G84" s="60"/>
    </row>
    <row r="85" spans="1:5" s="2" customFormat="1" ht="15.75">
      <c r="A85" s="74" t="s">
        <v>123</v>
      </c>
      <c r="B85" s="91"/>
      <c r="C85" s="91"/>
      <c r="D85" s="92"/>
      <c r="E85" s="92"/>
    </row>
    <row r="86" spans="1:5" ht="12.75" customHeight="1">
      <c r="A86" s="76"/>
      <c r="B86" s="72"/>
      <c r="C86" s="72"/>
      <c r="D86" s="16"/>
      <c r="E86" s="16"/>
    </row>
    <row r="87" ht="12.75" customHeight="1" thickBot="1"/>
    <row r="88" spans="1:8" ht="12.75" customHeight="1">
      <c r="A88" s="118" t="s">
        <v>124</v>
      </c>
      <c r="B88" s="119"/>
      <c r="C88" s="120"/>
      <c r="D88" s="100" t="s">
        <v>125</v>
      </c>
      <c r="E88" s="101"/>
      <c r="F88" s="100" t="s">
        <v>126</v>
      </c>
      <c r="G88" s="101"/>
      <c r="H88" s="102" t="s">
        <v>127</v>
      </c>
    </row>
    <row r="89" spans="1:8" ht="12.75" customHeight="1">
      <c r="A89" s="121"/>
      <c r="B89" s="122"/>
      <c r="C89" s="123"/>
      <c r="D89" s="93" t="s">
        <v>128</v>
      </c>
      <c r="E89" s="94" t="s">
        <v>129</v>
      </c>
      <c r="F89" s="93" t="str">
        <f>+D89</f>
        <v>Ratio</v>
      </c>
      <c r="G89" s="94" t="str">
        <f>+E89</f>
        <v>Importe</v>
      </c>
      <c r="H89" s="103"/>
    </row>
    <row r="90" spans="1:8" ht="12.75" customHeight="1" thickBot="1">
      <c r="A90" s="104" t="str">
        <f>D3</f>
        <v>OARSOALDEA</v>
      </c>
      <c r="B90" s="105"/>
      <c r="C90" s="106"/>
      <c r="D90" s="95">
        <f>IF((SUM('[1]detalle1'!D:D)+G24+I24)=0,0,(SUM('[1]detalle1'!U:U)+D24*(G24+I24))/(SUM('[1]detalle1'!D:D)+G24+I24))</f>
        <v>-25.93790125526195</v>
      </c>
      <c r="E90" s="96">
        <f>SUM('[1]detalle1'!D:D)+G24+I24</f>
        <v>115736.7999999999</v>
      </c>
      <c r="F90" s="95">
        <f>IF((SUM('[1]detalle2'!D:D)+SUM('[1]detalle32'!D:D)+G56+I56)=0,0,(SUM('[1]detalle2'!U:U)+SUM('[1]detalle32'!S:S)+D56*(G56+I56))/(SUM('[1]detalle2'!D:D)+SUM('[1]detalle32'!D:D)+G56+I56))</f>
        <v>-30.688777647131165</v>
      </c>
      <c r="G90" s="96">
        <f>SUM('[1]detalle2'!D:D)+SUM('[1]detalle32'!D:D)+G56+I56</f>
        <v>10409.759999999998</v>
      </c>
      <c r="H90" s="97">
        <f>IF(E90=0,F90,IF(G90=0,D90,(D90*E90+F90*G90)/(E90+G90)))</f>
        <v>-26.32994906876574</v>
      </c>
    </row>
    <row r="91" spans="4:8" ht="12.75" customHeight="1">
      <c r="D91" s="98"/>
      <c r="E91" s="59">
        <f>E90-F38</f>
        <v>0</v>
      </c>
      <c r="F91" s="59"/>
      <c r="G91" s="59">
        <f>G90-G58-I58-F81</f>
        <v>0</v>
      </c>
      <c r="H91" s="59">
        <f>IF(H92=0,0,(SUM('[1]detalle1'!U:U)+SUM('[1]detalle2'!U:U)+SUM('[1]detalle32'!S:S)+D24*(G24+I24)+D56*(G56+I56))/(SUM('[1]detalle1'!D:D)+SUM('[1]detalle2'!D:D)+SUM('[1]detalle32'!D:D)+G24+I24+G56+I56))-IF(H90="",0,H90)</f>
        <v>0</v>
      </c>
    </row>
    <row r="92" spans="1:8" ht="12.75" customHeight="1" thickBot="1">
      <c r="A92" s="20" t="s">
        <v>130</v>
      </c>
      <c r="E92" s="60"/>
      <c r="F92" s="60"/>
      <c r="G92" s="60"/>
      <c r="H92" s="99">
        <f>(SUM('[1]detalle1'!D:D)+SUM('[1]detalle2'!D:D)+SUM('[1]detalle32'!D:D)+G24+I24+G56+I56)</f>
        <v>126146.5599999999</v>
      </c>
    </row>
    <row r="93" spans="2:8" ht="43.5" customHeight="1" thickBot="1">
      <c r="B93" s="107"/>
      <c r="C93" s="108"/>
      <c r="E93" s="60"/>
      <c r="F93" s="60"/>
      <c r="G93" s="60"/>
      <c r="H93" s="60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38:C38"/>
    <mergeCell ref="A16:C16"/>
    <mergeCell ref="A22:C22"/>
    <mergeCell ref="A24:C24"/>
    <mergeCell ref="B25:C25"/>
    <mergeCell ref="A26:C26"/>
    <mergeCell ref="A31:C32"/>
    <mergeCell ref="D31:G31"/>
    <mergeCell ref="B33:C33"/>
    <mergeCell ref="B34:C34"/>
    <mergeCell ref="B36:C36"/>
    <mergeCell ref="B37:C37"/>
    <mergeCell ref="A45:C47"/>
    <mergeCell ref="D45:E45"/>
    <mergeCell ref="F45:I45"/>
    <mergeCell ref="D46:E46"/>
    <mergeCell ref="F46:G46"/>
    <mergeCell ref="H46:I46"/>
    <mergeCell ref="D75:G75"/>
    <mergeCell ref="A48:C48"/>
    <mergeCell ref="A54:C54"/>
    <mergeCell ref="A56:C56"/>
    <mergeCell ref="B57:C57"/>
    <mergeCell ref="A58:C58"/>
    <mergeCell ref="A67:C67"/>
    <mergeCell ref="B68:C68"/>
    <mergeCell ref="B69:C69"/>
    <mergeCell ref="B70:C70"/>
    <mergeCell ref="A71:C71"/>
    <mergeCell ref="A75:C76"/>
    <mergeCell ref="B77:C77"/>
    <mergeCell ref="B78:C78"/>
    <mergeCell ref="B79:C79"/>
    <mergeCell ref="B80:C80"/>
    <mergeCell ref="A81:C81"/>
    <mergeCell ref="D88:E88"/>
    <mergeCell ref="F88:G88"/>
    <mergeCell ref="H88:H89"/>
    <mergeCell ref="A90:C90"/>
    <mergeCell ref="B93:C93"/>
    <mergeCell ref="A88:C89"/>
  </mergeCells>
  <conditionalFormatting sqref="H90">
    <cfRule type="expression" priority="15" dxfId="30" stopIfTrue="1">
      <formula>$E$90+$G$90=0</formula>
    </cfRule>
  </conditionalFormatting>
  <conditionalFormatting sqref="G77:G80">
    <cfRule type="expression" priority="14" dxfId="30" stopIfTrue="1">
      <formula>F$81=0</formula>
    </cfRule>
  </conditionalFormatting>
  <conditionalFormatting sqref="D17:D21 D23 D49:D53 D55 D68:D70">
    <cfRule type="expression" priority="13" dxfId="30" stopIfTrue="1">
      <formula>F17+H17=0</formula>
    </cfRule>
  </conditionalFormatting>
  <conditionalFormatting sqref="E17:E21 E23 E49:E53 E55">
    <cfRule type="expression" priority="12" dxfId="30" stopIfTrue="1">
      <formula>H17=0</formula>
    </cfRule>
  </conditionalFormatting>
  <conditionalFormatting sqref="D56 D22 D24 D48 D54">
    <cfRule type="expression" priority="11" dxfId="31" stopIfTrue="1">
      <formula>F22+H22=0</formula>
    </cfRule>
  </conditionalFormatting>
  <conditionalFormatting sqref="E16 E22 E24 E48 E54 E56">
    <cfRule type="expression" priority="10" dxfId="31" stopIfTrue="1">
      <formula>H16=0</formula>
    </cfRule>
  </conditionalFormatting>
  <conditionalFormatting sqref="E77:E80">
    <cfRule type="expression" priority="9" dxfId="30" stopIfTrue="1">
      <formula>$D$81=0</formula>
    </cfRule>
  </conditionalFormatting>
  <conditionalFormatting sqref="E38">
    <cfRule type="expression" priority="8" dxfId="31" stopIfTrue="1">
      <formula>$D$38=0</formula>
    </cfRule>
  </conditionalFormatting>
  <conditionalFormatting sqref="G38">
    <cfRule type="expression" priority="7" dxfId="31" stopIfTrue="1">
      <formula>$F$38=0</formula>
    </cfRule>
  </conditionalFormatting>
  <conditionalFormatting sqref="A1:B1 E91:H91 D39:F40 D59:I59 D72:F72 D82:F83 H27:I27 E27:F27">
    <cfRule type="cellIs" priority="6" dxfId="30" operator="equal" stopIfTrue="1">
      <formula>0</formula>
    </cfRule>
  </conditionalFormatting>
  <conditionalFormatting sqref="D16">
    <cfRule type="expression" priority="5" dxfId="31" stopIfTrue="1">
      <formula>F16+H16=0</formula>
    </cfRule>
  </conditionalFormatting>
  <conditionalFormatting sqref="D26:E26 D58:E58">
    <cfRule type="cellIs" priority="4" dxfId="31" operator="equal" stopIfTrue="1">
      <formula>0</formula>
    </cfRule>
  </conditionalFormatting>
  <conditionalFormatting sqref="D27">
    <cfRule type="cellIs" priority="2" dxfId="30" operator="equal" stopIfTrue="1">
      <formula>0</formula>
    </cfRule>
    <cfRule type="expression" priority="3" dxfId="30" stopIfTrue="1">
      <formula>"SUMA(xehet1!D:D)=0"</formula>
    </cfRule>
  </conditionalFormatting>
  <conditionalFormatting sqref="G27">
    <cfRule type="cellIs" priority="1" dxfId="3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D37" sqref="D37"/>
    </sheetView>
  </sheetViews>
  <sheetFormatPr defaultColWidth="9.140625" defaultRowHeight="12.75" customHeight="1"/>
  <cols>
    <col min="1" max="1" width="3.140625" style="1" customWidth="1"/>
    <col min="2" max="2" width="4.421875" style="1" bestFit="1" customWidth="1"/>
    <col min="3" max="3" width="34.00390625" style="1" bestFit="1" customWidth="1"/>
    <col min="4" max="9" width="13.7109375" style="1" customWidth="1"/>
    <col min="10" max="16384" width="9.140625" style="1" customWidth="1"/>
  </cols>
  <sheetData>
    <row r="1" spans="1:2" ht="12.75" customHeight="1">
      <c r="A1" s="168">
        <f>SUMSQ(D27:I27,D39:F40,D59:I59,D72:F72,D82:F83,E91:H91)</f>
        <v>8.470329472543003E-22</v>
      </c>
      <c r="B1" s="168"/>
    </row>
    <row r="2" spans="1:9" s="2" customFormat="1" ht="15.75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1"/>
    </row>
    <row r="3" spans="1:9" s="2" customFormat="1" ht="15.75" customHeight="1">
      <c r="A3" s="3"/>
      <c r="B3" s="4"/>
      <c r="C3" s="5" t="s">
        <v>1</v>
      </c>
      <c r="D3" s="172"/>
      <c r="E3" s="172"/>
      <c r="F3" s="172"/>
      <c r="G3" s="172"/>
      <c r="H3" s="4"/>
      <c r="I3" s="6"/>
    </row>
    <row r="4" spans="1:9" s="2" customFormat="1" ht="15.75" customHeight="1">
      <c r="A4" s="3"/>
      <c r="B4" s="4"/>
      <c r="C4" s="7" t="s">
        <v>2</v>
      </c>
      <c r="D4" s="8"/>
      <c r="E4" s="9"/>
      <c r="F4" s="4"/>
      <c r="G4" s="4"/>
      <c r="H4" s="4"/>
      <c r="I4" s="6"/>
    </row>
    <row r="5" spans="1:9" s="2" customFormat="1" ht="15.75" customHeight="1">
      <c r="A5" s="10"/>
      <c r="B5" s="11"/>
      <c r="C5" s="12" t="s">
        <v>3</v>
      </c>
      <c r="D5" s="13"/>
      <c r="E5" s="14"/>
      <c r="F5" s="11"/>
      <c r="G5" s="11"/>
      <c r="H5" s="11"/>
      <c r="I5" s="15"/>
    </row>
    <row r="6" spans="1:9" ht="12.75" customHeight="1">
      <c r="A6" s="16"/>
      <c r="B6" s="16"/>
      <c r="C6" s="17"/>
      <c r="D6" s="18"/>
      <c r="E6" s="18"/>
      <c r="F6" s="16"/>
      <c r="G6" s="16"/>
      <c r="H6" s="16"/>
      <c r="I6" s="16"/>
    </row>
    <row r="7" spans="1:9" ht="12.75" customHeight="1">
      <c r="A7" s="16"/>
      <c r="B7" s="16"/>
      <c r="C7" s="17"/>
      <c r="D7" s="18"/>
      <c r="E7" s="18"/>
      <c r="F7" s="16"/>
      <c r="G7" s="16"/>
      <c r="H7" s="16"/>
      <c r="I7" s="16"/>
    </row>
    <row r="9" s="2" customFormat="1" ht="15.75">
      <c r="A9" s="19" t="s">
        <v>4</v>
      </c>
    </row>
    <row r="10" ht="12.75" customHeight="1">
      <c r="A10" s="20"/>
    </row>
    <row r="11" ht="12.75" customHeight="1">
      <c r="A11" s="20"/>
    </row>
    <row r="12" s="22" customFormat="1" ht="13.5" thickBot="1">
      <c r="A12" s="21" t="s">
        <v>5</v>
      </c>
    </row>
    <row r="13" spans="1:9" ht="12.75" customHeight="1">
      <c r="A13" s="129" t="s">
        <v>6</v>
      </c>
      <c r="B13" s="130"/>
      <c r="C13" s="151"/>
      <c r="D13" s="153" t="s">
        <v>7</v>
      </c>
      <c r="E13" s="154"/>
      <c r="F13" s="155" t="s">
        <v>8</v>
      </c>
      <c r="G13" s="156"/>
      <c r="H13" s="156"/>
      <c r="I13" s="157"/>
    </row>
    <row r="14" spans="1:9" ht="12.75" customHeight="1">
      <c r="A14" s="132"/>
      <c r="B14" s="133"/>
      <c r="C14" s="152"/>
      <c r="D14" s="158" t="s">
        <v>9</v>
      </c>
      <c r="E14" s="159"/>
      <c r="F14" s="160" t="s">
        <v>10</v>
      </c>
      <c r="G14" s="161"/>
      <c r="H14" s="161" t="s">
        <v>11</v>
      </c>
      <c r="I14" s="162"/>
    </row>
    <row r="15" spans="1:9" ht="22.5">
      <c r="A15" s="132"/>
      <c r="B15" s="133"/>
      <c r="C15" s="152"/>
      <c r="D15" s="23" t="s">
        <v>12</v>
      </c>
      <c r="E15" s="24" t="s">
        <v>13</v>
      </c>
      <c r="F15" s="25" t="s">
        <v>14</v>
      </c>
      <c r="G15" s="26" t="s">
        <v>15</v>
      </c>
      <c r="H15" s="26" t="s">
        <v>14</v>
      </c>
      <c r="I15" s="27" t="s">
        <v>15</v>
      </c>
    </row>
    <row r="16" spans="1:9" ht="12.75" customHeight="1">
      <c r="A16" s="141" t="s">
        <v>16</v>
      </c>
      <c r="B16" s="142"/>
      <c r="C16" s="142"/>
      <c r="D16" s="28">
        <f>IF(G16+I16=0,0,(D17*(G17+I17)+D18*(G18+I18)+D19*(G19+I19)+D20*(G20+I20)+D21*(G21+I21))/(G16+I16))</f>
        <v>0</v>
      </c>
      <c r="E16" s="29">
        <f>IF(I16=0,0,(E17*I17+E18*I18+E19*I19+E20*I20+E21*I21)/I16)</f>
        <v>0</v>
      </c>
      <c r="F16" s="30">
        <f>SUM(F17:F21)</f>
        <v>147</v>
      </c>
      <c r="G16" s="31">
        <f>SUM(G17:G21)</f>
        <v>113423.27999999993</v>
      </c>
      <c r="H16" s="32">
        <f>SUM(H17:H21)</f>
        <v>0</v>
      </c>
      <c r="I16" s="33">
        <f>SUM(I17:I21)</f>
        <v>0</v>
      </c>
    </row>
    <row r="17" spans="1:9" ht="12.75" customHeight="1">
      <c r="A17" s="34"/>
      <c r="B17" s="35" t="s">
        <v>17</v>
      </c>
      <c r="C17" s="16" t="s">
        <v>18</v>
      </c>
      <c r="D17" s="36">
        <f>IF(F17+H17=0,0,SUMIF('[2]xehet1'!S:S,20,'[2]xehet1'!T:T)/SUMIF('[2]xehet1'!S:S,20,'[2]xehet1'!D:D))</f>
        <v>0</v>
      </c>
      <c r="E17" s="37">
        <f>IF(H17=0,0,SUMIF('[2]xehet1'!V:V,220,'[2]xehet1'!T:T)/SUMIF('[2]xehet1'!V:V,220,'[2]xehet1'!D:D))</f>
        <v>0</v>
      </c>
      <c r="F17" s="38">
        <f>COUNTIF('[2]xehet1'!V:V,120)</f>
        <v>3</v>
      </c>
      <c r="G17" s="39">
        <f>SUMIF('[2]xehet1'!V:V,120,'[2]xehet1'!D:D)</f>
        <v>2022.27</v>
      </c>
      <c r="H17" s="40">
        <f>COUNTIF('[2]xehet1'!V:V,220)</f>
        <v>0</v>
      </c>
      <c r="I17" s="41">
        <f>SUMIF('[2]xehet1'!V:V,220,'[2]xehet1'!D:D)</f>
        <v>0</v>
      </c>
    </row>
    <row r="18" spans="1:9" ht="12.75" customHeight="1">
      <c r="A18" s="34"/>
      <c r="B18" s="35" t="s">
        <v>19</v>
      </c>
      <c r="C18" s="16" t="s">
        <v>20</v>
      </c>
      <c r="D18" s="36">
        <f>IF(F18+H18=0,0,SUMIF('[2]xehet1'!S:S,21,'[2]xehet1'!T:T)/SUMIF('[2]xehet1'!S:S,21,'[2]xehet1'!D:D))</f>
        <v>0</v>
      </c>
      <c r="E18" s="37">
        <f>IF(H18=0,0,SUMIF('[2]xehet1'!V:V,221,'[2]xehet1'!T:T)/SUMIF('[2]xehet1'!V:V,221,'[2]xehet1'!D:D))</f>
        <v>0</v>
      </c>
      <c r="F18" s="38">
        <f>COUNTIF('[2]xehet1'!V:V,121)</f>
        <v>17</v>
      </c>
      <c r="G18" s="39">
        <f>SUMIF('[2]xehet1'!V:V,121,'[2]xehet1'!D:D)</f>
        <v>4399.389999999999</v>
      </c>
      <c r="H18" s="40">
        <f>COUNTIF('[2]xehet1'!V:V,221)</f>
        <v>0</v>
      </c>
      <c r="I18" s="41">
        <f>SUMIF('[2]xehet1'!V:V,221,'[2]xehet1'!D:D)</f>
        <v>0</v>
      </c>
    </row>
    <row r="19" spans="1:9" ht="12.75" customHeight="1">
      <c r="A19" s="34"/>
      <c r="B19" s="35" t="s">
        <v>21</v>
      </c>
      <c r="C19" s="16" t="s">
        <v>22</v>
      </c>
      <c r="D19" s="36">
        <f>IF(F19+H19=0,0,SUMIF('[2]xehet1'!S:S,22,'[2]xehet1'!T:T)/SUMIF('[2]xehet1'!S:S,22,'[2]xehet1'!D:D))</f>
        <v>0</v>
      </c>
      <c r="E19" s="37">
        <f>IF(H19=0,0,SUMIF('[2]xehet1'!V:V,222,'[2]xehet1'!T:T)/SUMIF('[2]xehet1'!V:V,222,'[2]xehet1'!D:D))</f>
        <v>0</v>
      </c>
      <c r="F19" s="38">
        <f>COUNTIF('[2]xehet1'!V:V,122)</f>
        <v>10</v>
      </c>
      <c r="G19" s="39">
        <f>SUMIF('[2]xehet1'!V:V,122,'[2]xehet1'!D:D)</f>
        <v>1889.4900000000002</v>
      </c>
      <c r="H19" s="40">
        <f>COUNTIF('[2]xehet1'!V:V,222)</f>
        <v>0</v>
      </c>
      <c r="I19" s="41">
        <f>SUMIF('[2]xehet1'!V:V,222,'[2]xehet1'!D:D)</f>
        <v>0</v>
      </c>
    </row>
    <row r="20" spans="1:9" ht="12.75" customHeight="1">
      <c r="A20" s="34"/>
      <c r="B20" s="35" t="s">
        <v>23</v>
      </c>
      <c r="C20" s="16" t="s">
        <v>24</v>
      </c>
      <c r="D20" s="36">
        <f>IF(F20+H20=0,0,SUMIF('[2]xehet1'!S:S,23,'[2]xehet1'!T:T)/SUMIF('[2]xehet1'!S:S,23,'[2]xehet1'!D:D))</f>
        <v>0</v>
      </c>
      <c r="E20" s="37">
        <f>IF(H20=0,0,SUMIF('[2]xehet1'!V:V,223,'[2]xehet1'!T:T)/SUMIF('[2]xehet1'!V:V,223,'[2]xehet1'!D:D))</f>
        <v>0</v>
      </c>
      <c r="F20" s="38">
        <f>COUNTIF('[2]xehet1'!V:V,123)</f>
        <v>0</v>
      </c>
      <c r="G20" s="39">
        <f>SUMIF('[2]xehet1'!V:V,123,'[2]xehet1'!D:D)</f>
        <v>0</v>
      </c>
      <c r="H20" s="40">
        <f>COUNTIF('[2]xehet1'!V:V,223)</f>
        <v>0</v>
      </c>
      <c r="I20" s="41">
        <f>SUMIF('[2]xehet1'!V:V,223,'[2]xehet1'!D:D)</f>
        <v>0</v>
      </c>
    </row>
    <row r="21" spans="1:9" ht="12.75" customHeight="1">
      <c r="A21" s="34"/>
      <c r="B21" s="35" t="s">
        <v>25</v>
      </c>
      <c r="C21" s="16" t="s">
        <v>26</v>
      </c>
      <c r="D21" s="36">
        <f>IF(F21+H21=0,0,SUMIF('[2]xehet1'!S:S,29,'[2]xehet1'!T:T)/SUMIF('[2]xehet1'!S:S,29,'[2]xehet1'!D:D))</f>
        <v>0</v>
      </c>
      <c r="E21" s="37">
        <f>IF(H21=0,0,SUMIF('[2]xehet1'!V:V,229,'[2]xehet1'!T:T)/SUMIF('[2]xehet1'!V:V,229,'[2]xehet1'!D:D))</f>
        <v>0</v>
      </c>
      <c r="F21" s="38">
        <f>COUNTIF('[2]xehet1'!V:V,129)</f>
        <v>117</v>
      </c>
      <c r="G21" s="39">
        <f>SUMIF('[2]xehet1'!V:V,129,'[2]xehet1'!D:D)</f>
        <v>105112.12999999993</v>
      </c>
      <c r="H21" s="40">
        <f>COUNTIF('[2]xehet1'!V:V,229)</f>
        <v>0</v>
      </c>
      <c r="I21" s="41">
        <f>SUMIF('[2]xehet1'!V:V,229,'[2]xehet1'!D:D)</f>
        <v>0</v>
      </c>
    </row>
    <row r="22" spans="1:9" ht="12.75" customHeight="1">
      <c r="A22" s="141" t="s">
        <v>27</v>
      </c>
      <c r="B22" s="142"/>
      <c r="C22" s="142"/>
      <c r="D22" s="28">
        <f aca="true" t="shared" si="0" ref="D22:I22">D23</f>
        <v>0</v>
      </c>
      <c r="E22" s="29">
        <f t="shared" si="0"/>
        <v>0</v>
      </c>
      <c r="F22" s="42">
        <f t="shared" si="0"/>
        <v>3</v>
      </c>
      <c r="G22" s="43">
        <f t="shared" si="0"/>
        <v>2313.52</v>
      </c>
      <c r="H22" s="44">
        <f t="shared" si="0"/>
        <v>0</v>
      </c>
      <c r="I22" s="33">
        <f t="shared" si="0"/>
        <v>0</v>
      </c>
    </row>
    <row r="23" spans="1:9" ht="12.75" customHeight="1">
      <c r="A23" s="34"/>
      <c r="B23" s="45" t="s">
        <v>28</v>
      </c>
      <c r="C23" s="46" t="s">
        <v>29</v>
      </c>
      <c r="D23" s="36">
        <f>IF(F23+H23=0,0,SUMIF('[2]xehet1'!S:S,69,'[2]xehet1'!T:T)/SUMIF('[2]xehet1'!S:S,69,'[2]xehet1'!D:D))</f>
        <v>0</v>
      </c>
      <c r="E23" s="37">
        <f>IF(H23=0,0,SUMIF('[2]xehet1'!V:V,269,'[2]xehet1'!T:T)/SUMIF('[2]xehet1'!V:V,269,'[2]xehet1'!D:D))</f>
        <v>0</v>
      </c>
      <c r="F23" s="38">
        <f>COUNTIF('[2]xehet1'!V:V,169)</f>
        <v>3</v>
      </c>
      <c r="G23" s="39">
        <f>SUMIF('[2]xehet1'!V:V,169,'[2]xehet1'!D:D)</f>
        <v>2313.52</v>
      </c>
      <c r="H23" s="40">
        <f>COUNTIF('[2]xehet1'!V:V,269)</f>
        <v>0</v>
      </c>
      <c r="I23" s="41">
        <f>SUMIF('[2]xehet1'!V:V,269,'[2]xehet1'!D:D)</f>
        <v>0</v>
      </c>
    </row>
    <row r="24" spans="1:9" ht="12.75" customHeight="1">
      <c r="A24" s="141" t="s">
        <v>30</v>
      </c>
      <c r="B24" s="142"/>
      <c r="C24" s="142"/>
      <c r="D24" s="28">
        <f aca="true" t="shared" si="1" ref="D24:I24">D25</f>
        <v>0</v>
      </c>
      <c r="E24" s="29">
        <f t="shared" si="1"/>
        <v>0</v>
      </c>
      <c r="F24" s="42">
        <f t="shared" si="1"/>
        <v>0</v>
      </c>
      <c r="G24" s="43">
        <f t="shared" si="1"/>
        <v>0</v>
      </c>
      <c r="H24" s="44">
        <f t="shared" si="1"/>
        <v>0</v>
      </c>
      <c r="I24" s="33">
        <f t="shared" si="1"/>
        <v>0</v>
      </c>
    </row>
    <row r="25" spans="1:9" ht="12.75" customHeight="1">
      <c r="A25" s="34"/>
      <c r="B25" s="124" t="s">
        <v>31</v>
      </c>
      <c r="C25" s="124"/>
      <c r="D25" s="47"/>
      <c r="E25" s="48"/>
      <c r="F25" s="49"/>
      <c r="G25" s="50"/>
      <c r="H25" s="51"/>
      <c r="I25" s="52"/>
    </row>
    <row r="26" spans="1:9" ht="12.75" customHeight="1" thickBot="1">
      <c r="A26" s="166" t="s">
        <v>12</v>
      </c>
      <c r="B26" s="167"/>
      <c r="C26" s="167"/>
      <c r="D26" s="53">
        <f>IF(G26+I26=0,0,(D16*(G16+I16)+D22*(G22+I22)+D24*(G24+I24))/(G26+I26))</f>
        <v>0</v>
      </c>
      <c r="E26" s="54">
        <f>IF(I26=0,0,(E16*I16+E22*I22+E24*I24)/I26)</f>
        <v>0</v>
      </c>
      <c r="F26" s="55">
        <f>F16+F22+F24</f>
        <v>150</v>
      </c>
      <c r="G26" s="56">
        <f>G16+G22+G24</f>
        <v>115736.79999999993</v>
      </c>
      <c r="H26" s="57">
        <f>H16+H22+H24</f>
        <v>0</v>
      </c>
      <c r="I26" s="58">
        <f>I16+I22+I24</f>
        <v>0</v>
      </c>
    </row>
    <row r="27" spans="1:9" ht="12.75" customHeight="1">
      <c r="A27" s="1" t="s">
        <v>32</v>
      </c>
      <c r="D27" s="59">
        <f>IF(SUM('[2]xehet1'!D:D)=0,0,SUM('[2]xehet1'!T:T)/SUM('[2]xehet1'!D:D))-IF((G16+I16+G22+I22)=0,0,(D16*(G16+I16)+D22*(G22+I22))/(G16+I16+G22+I22))</f>
        <v>0</v>
      </c>
      <c r="E27" s="59">
        <f>IF(SUMIF('[2]xehet1'!V:V,"&gt;199",'[2]xehet1'!D:D)=0,0,SUMIF('[2]xehet1'!V:V,"&gt;199",'[2]xehet1'!T:T)/SUMIF('[2]xehet1'!V:V,"&gt;199",'[2]xehet1'!D:D))-IF(I16+I22=0,0,(E16*I16+E22*I22)/(I16+I22))</f>
        <v>0</v>
      </c>
      <c r="F27" s="59">
        <f>COUNTIF('[2]xehet1'!P:P,"&lt;=30")-F26+F25</f>
        <v>0</v>
      </c>
      <c r="G27" s="59">
        <f>SUMIF('[2]xehet1'!P:P,"&lt;=30",'[2]xehet1'!D:D)-G26+G25</f>
        <v>-2.9103830456733704E-11</v>
      </c>
      <c r="H27" s="59">
        <f>COUNTIF('[2]xehet1'!P:P,"&gt;30")-H26+H25</f>
        <v>0</v>
      </c>
      <c r="I27" s="59">
        <f>SUMIF('[2]xehet1'!P:P,"&gt;30",'[2]xehet1'!D:D)-I26+I25</f>
        <v>0</v>
      </c>
    </row>
    <row r="28" spans="4:9" ht="12.75" customHeight="1">
      <c r="D28" s="60"/>
      <c r="E28" s="60"/>
      <c r="F28" s="60"/>
      <c r="G28" s="60"/>
      <c r="H28" s="60"/>
      <c r="I28" s="60"/>
    </row>
    <row r="29" spans="4:9" ht="12.75" customHeight="1">
      <c r="D29" s="60"/>
      <c r="E29" s="60"/>
      <c r="F29" s="60"/>
      <c r="G29" s="60"/>
      <c r="H29" s="60"/>
      <c r="I29" s="60"/>
    </row>
    <row r="30" ht="13.5" thickBot="1">
      <c r="A30" s="21" t="s">
        <v>33</v>
      </c>
    </row>
    <row r="31" spans="1:7" ht="12.75" customHeight="1">
      <c r="A31" s="129" t="s">
        <v>34</v>
      </c>
      <c r="B31" s="130"/>
      <c r="C31" s="131"/>
      <c r="D31" s="135" t="s">
        <v>35</v>
      </c>
      <c r="E31" s="136"/>
      <c r="F31" s="136"/>
      <c r="G31" s="137"/>
    </row>
    <row r="32" spans="1:7" ht="12.75" customHeight="1">
      <c r="A32" s="132"/>
      <c r="B32" s="133"/>
      <c r="C32" s="134"/>
      <c r="D32" s="25" t="s">
        <v>36</v>
      </c>
      <c r="E32" s="26" t="s">
        <v>37</v>
      </c>
      <c r="F32" s="26" t="s">
        <v>15</v>
      </c>
      <c r="G32" s="27" t="s">
        <v>37</v>
      </c>
    </row>
    <row r="33" spans="1:7" ht="12.75" customHeight="1">
      <c r="A33" s="34"/>
      <c r="B33" s="113" t="s">
        <v>38</v>
      </c>
      <c r="C33" s="114"/>
      <c r="D33" s="61">
        <f>COUNTIF('[2]xehet1'!P:P,"&lt;=30")+F25</f>
        <v>150</v>
      </c>
      <c r="E33" s="62">
        <f>IF($D$38=0,0,D33*100/$D$38)</f>
        <v>100</v>
      </c>
      <c r="F33" s="62">
        <f>SUMIF('[2]xehet1'!P:P,"&lt;=30",'[2]xehet1'!D:D)+G25</f>
        <v>115736.7999999999</v>
      </c>
      <c r="G33" s="63">
        <f>IF($F$38=0,0,F33*100/$F$38)</f>
        <v>100</v>
      </c>
    </row>
    <row r="34" spans="1:7" ht="12.75" customHeight="1">
      <c r="A34" s="34"/>
      <c r="B34" s="111" t="s">
        <v>39</v>
      </c>
      <c r="C34" s="112"/>
      <c r="D34" s="64">
        <f>COUNTIF('[2]xehet1'!P:P,"&lt;=40")-D33+F25+IF(AND(E25&gt;30,E25&lt;=40),H25)</f>
        <v>0</v>
      </c>
      <c r="E34" s="39">
        <f>IF($D$38=0,0,D34*100/$D$38)</f>
        <v>0</v>
      </c>
      <c r="F34" s="39">
        <f>SUMIF('[2]xehet1'!P:P,"&lt;=40",'[2]xehet1'!D:D)-F33+G25+IF(AND(E25&gt;30,E25&lt;=40),I25)</f>
        <v>0</v>
      </c>
      <c r="G34" s="41">
        <f>IF($F$38=0,0,F34*100/$F$38)</f>
        <v>0</v>
      </c>
    </row>
    <row r="35" spans="1:7" ht="12.75" customHeight="1">
      <c r="A35" s="34"/>
      <c r="B35" s="65" t="s">
        <v>40</v>
      </c>
      <c r="C35" s="66"/>
      <c r="D35" s="64">
        <f>COUNTIF('[2]xehet1'!P:P,"&lt;=50")-SUM(D33:D34)+F25+IF(E25&lt;=50,H25)</f>
        <v>0</v>
      </c>
      <c r="E35" s="39">
        <f>IF($D$38=0,0,D35*100/$D$38)</f>
        <v>0</v>
      </c>
      <c r="F35" s="39">
        <f>SUMIF('[2]xehet1'!P:P,"&lt;=50",'[2]xehet1'!D:D)-SUM(F33:F34)+G25+IF(E25&lt;=50,I25)</f>
        <v>0</v>
      </c>
      <c r="G35" s="41">
        <f>IF($F$38=0,0,F35*100/$F$38)</f>
        <v>0</v>
      </c>
    </row>
    <row r="36" spans="1:7" ht="12.75" customHeight="1">
      <c r="A36" s="34"/>
      <c r="B36" s="113" t="s">
        <v>41</v>
      </c>
      <c r="C36" s="114"/>
      <c r="D36" s="64">
        <f>COUNTIF('[2]xehet1'!P:P,"&lt;=60")-SUM(D33:D35)+F25+IF(E25&lt;=60,H25)</f>
        <v>0</v>
      </c>
      <c r="E36" s="39">
        <f>IF($D$38=0,0,D36*100/$D$38)</f>
        <v>0</v>
      </c>
      <c r="F36" s="39">
        <f>SUMIF('[2]xehet1'!P:P,"&lt;=60",'[2]xehet1'!D:D)-SUM(F33:F35)+G25+IF(E25&lt;=60,I25)</f>
        <v>0</v>
      </c>
      <c r="G36" s="41">
        <f>IF($F$38=0,0,F36*100/$F$38)</f>
        <v>0</v>
      </c>
    </row>
    <row r="37" spans="1:7" ht="12.75" customHeight="1">
      <c r="A37" s="67"/>
      <c r="B37" s="124" t="s">
        <v>42</v>
      </c>
      <c r="C37" s="125"/>
      <c r="D37" s="68">
        <f>COUNTIF('[2]xehet1'!P:P,"&gt;60")+IF(E25&gt;60,H25)</f>
        <v>0</v>
      </c>
      <c r="E37" s="39">
        <f>IF($D$38=0,0,D37*100/$D$38)</f>
        <v>0</v>
      </c>
      <c r="F37" s="69">
        <f>SUMIF('[2]xehet1'!P:P,"&gt;60",'[2]xehet1'!D:D)+IF(E25&gt;60,I25)</f>
        <v>0</v>
      </c>
      <c r="G37" s="41">
        <f>IF($F$38=0,0,F37*100/$F$38)</f>
        <v>0</v>
      </c>
    </row>
    <row r="38" spans="1:7" ht="12.75" customHeight="1" thickBot="1">
      <c r="A38" s="163" t="s">
        <v>12</v>
      </c>
      <c r="B38" s="164"/>
      <c r="C38" s="165"/>
      <c r="D38" s="70">
        <f>SUM(D33:D37)</f>
        <v>150</v>
      </c>
      <c r="E38" s="71">
        <f>SUM(E33:E37)</f>
        <v>100</v>
      </c>
      <c r="F38" s="71">
        <f>SUM(F33:F37)</f>
        <v>115736.7999999999</v>
      </c>
      <c r="G38" s="58">
        <f>SUM(G33:G37)</f>
        <v>100</v>
      </c>
    </row>
    <row r="39" spans="1:6" ht="12.75" customHeight="1">
      <c r="A39" s="72"/>
      <c r="B39" s="72"/>
      <c r="C39" s="72"/>
      <c r="D39" s="59">
        <f>COUNT('[2]xehet1'!D:D)-D38+F25+H25</f>
        <v>0</v>
      </c>
      <c r="E39" s="59"/>
      <c r="F39" s="59">
        <f>SUM('[2]xehet1'!D:D)-F38+G25+I25</f>
        <v>0</v>
      </c>
    </row>
    <row r="40" spans="1:6" ht="12.75" customHeight="1">
      <c r="A40" s="72"/>
      <c r="B40" s="72"/>
      <c r="C40" s="72"/>
      <c r="D40" s="59">
        <f>F26+H26-D38</f>
        <v>0</v>
      </c>
      <c r="E40" s="59"/>
      <c r="F40" s="59">
        <f>G26+I26-F38</f>
        <v>0</v>
      </c>
    </row>
    <row r="41" spans="1:6" ht="12.75" customHeight="1">
      <c r="A41" s="72"/>
      <c r="B41" s="72"/>
      <c r="C41" s="72"/>
      <c r="D41" s="16"/>
      <c r="E41" s="16"/>
      <c r="F41" s="60"/>
    </row>
    <row r="42" s="2" customFormat="1" ht="15.75">
      <c r="A42" s="19" t="s">
        <v>43</v>
      </c>
    </row>
    <row r="43" ht="12.75" customHeight="1">
      <c r="A43" s="20"/>
    </row>
    <row r="44" ht="12.75" customHeight="1" thickBot="1">
      <c r="A44" s="20"/>
    </row>
    <row r="45" spans="1:9" ht="12.75" customHeight="1">
      <c r="A45" s="129" t="s">
        <v>44</v>
      </c>
      <c r="B45" s="130"/>
      <c r="C45" s="151"/>
      <c r="D45" s="153" t="s">
        <v>45</v>
      </c>
      <c r="E45" s="154"/>
      <c r="F45" s="155" t="s">
        <v>46</v>
      </c>
      <c r="G45" s="156"/>
      <c r="H45" s="156"/>
      <c r="I45" s="157"/>
    </row>
    <row r="46" spans="1:9" ht="12.75" customHeight="1">
      <c r="A46" s="132"/>
      <c r="B46" s="133"/>
      <c r="C46" s="152"/>
      <c r="D46" s="158" t="s">
        <v>9</v>
      </c>
      <c r="E46" s="159"/>
      <c r="F46" s="160" t="s">
        <v>10</v>
      </c>
      <c r="G46" s="161"/>
      <c r="H46" s="161" t="s">
        <v>11</v>
      </c>
      <c r="I46" s="162"/>
    </row>
    <row r="47" spans="1:9" ht="22.5">
      <c r="A47" s="132"/>
      <c r="B47" s="133"/>
      <c r="C47" s="152"/>
      <c r="D47" s="23" t="s">
        <v>12</v>
      </c>
      <c r="E47" s="24" t="s">
        <v>13</v>
      </c>
      <c r="F47" s="25" t="s">
        <v>47</v>
      </c>
      <c r="G47" s="26" t="s">
        <v>15</v>
      </c>
      <c r="H47" s="26" t="s">
        <v>47</v>
      </c>
      <c r="I47" s="27" t="s">
        <v>15</v>
      </c>
    </row>
    <row r="48" spans="1:9" ht="12.75" customHeight="1">
      <c r="A48" s="138" t="s">
        <v>16</v>
      </c>
      <c r="B48" s="139"/>
      <c r="C48" s="140"/>
      <c r="D48" s="28">
        <f>IF(G48+I48=0,0,(D49*(G49+I49)+D50*(G50+I50)+D51*(G51+I51)+D52*(G52+I52)+D53*(G53+I53))/(G48+I48))</f>
        <v>0</v>
      </c>
      <c r="E48" s="29">
        <f>IF(I48=0,0,(E49*I49+E50*I50+E51*I51+E52*I52+E53*I53)/I48)</f>
        <v>0</v>
      </c>
      <c r="F48" s="30">
        <f>SUM(F49:F53)</f>
        <v>0</v>
      </c>
      <c r="G48" s="31">
        <f>SUM(G49:G53)</f>
        <v>0</v>
      </c>
      <c r="H48" s="32">
        <f>SUM(H49:H53)</f>
        <v>0</v>
      </c>
      <c r="I48" s="33">
        <f>SUM(I49:I53)</f>
        <v>0</v>
      </c>
    </row>
    <row r="49" spans="1:9" ht="12.75" customHeight="1">
      <c r="A49" s="34"/>
      <c r="B49" s="35" t="s">
        <v>17</v>
      </c>
      <c r="C49" s="16" t="s">
        <v>18</v>
      </c>
      <c r="D49" s="36">
        <f>IF(F49+H49=0,0,SUMIF('[2]xehet2'!S:S,20,'[2]xehet2'!T:T)/SUMIF('[2]xehet2'!S:S,20,'[2]xehet2'!D:D))</f>
        <v>0</v>
      </c>
      <c r="E49" s="37">
        <f>IF(H49=0,0,SUMIF('[2]xehet2'!V:V,220,'[2]xehet2'!T:T)/SUMIF('[2]xehet2'!V:V,220,'[2]xehet2'!D:D))</f>
        <v>0</v>
      </c>
      <c r="F49" s="38">
        <f>COUNTIF('[2]xehet2'!V:V,120)</f>
        <v>0</v>
      </c>
      <c r="G49" s="39">
        <f>SUMIF('[2]xehet2'!V:V,120,'[2]xehet2'!D:D)</f>
        <v>0</v>
      </c>
      <c r="H49" s="40">
        <f>COUNTIF('[2]xehet2'!V:V,220)</f>
        <v>0</v>
      </c>
      <c r="I49" s="41">
        <f>SUMIF('[2]xehet2'!V:V,220,'[2]xehet2'!D:D)</f>
        <v>0</v>
      </c>
    </row>
    <row r="50" spans="1:9" ht="12.75" customHeight="1">
      <c r="A50" s="34"/>
      <c r="B50" s="35" t="s">
        <v>19</v>
      </c>
      <c r="C50" s="16" t="s">
        <v>48</v>
      </c>
      <c r="D50" s="36">
        <f>IF(F50+H50=0,0,SUMIF('[2]xehet2'!S:S,21,'[2]xehet2'!T:T)/SUMIF('[2]xehet2'!S:S,21,'[2]xehet2'!D:D))</f>
        <v>0</v>
      </c>
      <c r="E50" s="37">
        <f>IF(H50=0,0,SUMIF('[2]xehet2'!V:V,221,'[2]xehet2'!T:T)/SUMIF('[2]xehet2'!V:V,221,'[2]xehet2'!D:D))</f>
        <v>0</v>
      </c>
      <c r="F50" s="38">
        <f>COUNTIF('[2]xehet2'!V:V,121)</f>
        <v>0</v>
      </c>
      <c r="G50" s="39">
        <f>SUMIF('[2]xehet2'!V:V,121,'[2]xehet2'!D:D)</f>
        <v>0</v>
      </c>
      <c r="H50" s="40">
        <f>COUNTIF('[2]xehet2'!V:V,221)</f>
        <v>0</v>
      </c>
      <c r="I50" s="41">
        <f>SUMIF('[2]xehet2'!V:V,221,'[2]xehet2'!D:D)</f>
        <v>0</v>
      </c>
    </row>
    <row r="51" spans="1:9" ht="12.75" customHeight="1">
      <c r="A51" s="34"/>
      <c r="B51" s="35" t="s">
        <v>21</v>
      </c>
      <c r="C51" s="16" t="s">
        <v>49</v>
      </c>
      <c r="D51" s="36">
        <f>IF(F51+H51=0,0,SUMIF('[2]xehet2'!S:S,22,'[2]xehet2'!T:T)/SUMIF('[2]xehet2'!S:S,22,'[2]xehet2'!D:D))</f>
        <v>0</v>
      </c>
      <c r="E51" s="37">
        <f>IF(H51=0,0,SUMIF('[2]xehet2'!V:V,222,'[2]xehet2'!T:T)/SUMIF('[2]xehet2'!V:V,222,'[2]xehet2'!D:D))</f>
        <v>0</v>
      </c>
      <c r="F51" s="38">
        <f>COUNTIF('[2]xehet2'!V:V,122)</f>
        <v>0</v>
      </c>
      <c r="G51" s="39">
        <f>SUMIF('[2]xehet2'!V:V,122,'[2]xehet2'!D:D)</f>
        <v>0</v>
      </c>
      <c r="H51" s="40">
        <f>COUNTIF('[2]xehet2'!V:V,222)</f>
        <v>0</v>
      </c>
      <c r="I51" s="41">
        <f>SUMIF('[2]xehet2'!V:V,222,'[2]xehet2'!D:D)</f>
        <v>0</v>
      </c>
    </row>
    <row r="52" spans="1:9" ht="12.75" customHeight="1">
      <c r="A52" s="34"/>
      <c r="B52" s="35" t="s">
        <v>23</v>
      </c>
      <c r="C52" s="16" t="s">
        <v>50</v>
      </c>
      <c r="D52" s="36">
        <f>IF(F52+H52=0,0,SUMIF('[2]xehet2'!S:S,23,'[2]xehet2'!T:T)/SUMIF('[2]xehet2'!S:S,23,'[2]xehet2'!D:D))</f>
        <v>0</v>
      </c>
      <c r="E52" s="37">
        <f>IF(H52=0,0,SUMIF('[2]xehet2'!V:V,223,'[2]xehet2'!T:T)/SUMIF('[2]xehet2'!V:V,223,'[2]xehet2'!D:D))</f>
        <v>0</v>
      </c>
      <c r="F52" s="38">
        <f>COUNTIF('[2]xehet2'!V:V,123)</f>
        <v>0</v>
      </c>
      <c r="G52" s="39">
        <f>SUMIF('[2]xehet2'!V:V,123,'[2]xehet2'!D:D)</f>
        <v>0</v>
      </c>
      <c r="H52" s="40">
        <f>COUNTIF('[2]xehet2'!V:V,223)</f>
        <v>0</v>
      </c>
      <c r="I52" s="41">
        <f>SUMIF('[2]xehet2'!V:V,223,'[2]xehet2'!D:D)</f>
        <v>0</v>
      </c>
    </row>
    <row r="53" spans="1:9" ht="12.75" customHeight="1">
      <c r="A53" s="34"/>
      <c r="B53" s="35" t="s">
        <v>51</v>
      </c>
      <c r="C53" s="16" t="s">
        <v>26</v>
      </c>
      <c r="D53" s="36">
        <f>IF(F53+H53=0,0,SUMIF('[2]xehet2'!S:S,29,'[2]xehet2'!T:T)/SUMIF('[2]xehet2'!S:S,29,'[2]xehet2'!D:D))</f>
        <v>0</v>
      </c>
      <c r="E53" s="37">
        <f>IF(H53=0,0,SUMIF('[2]xehet2'!V:V,229,'[2]xehet2'!T:T)/SUMIF('[2]xehet2'!V:V,229,'[2]xehet2'!D:D))</f>
        <v>0</v>
      </c>
      <c r="F53" s="38">
        <f>COUNTIF('[2]xehet2'!V:V,129)</f>
        <v>0</v>
      </c>
      <c r="G53" s="39">
        <f>SUMIF('[2]xehet2'!V:V,129,'[2]xehet2'!D:D)</f>
        <v>0</v>
      </c>
      <c r="H53" s="40">
        <f>COUNTIF('[2]xehet2'!V:V,229)</f>
        <v>0</v>
      </c>
      <c r="I53" s="41">
        <f>SUMIF('[2]xehet2'!V:V,229,'[2]xehet2'!D:D)</f>
        <v>0</v>
      </c>
    </row>
    <row r="54" spans="1:9" ht="12.75" customHeight="1">
      <c r="A54" s="141" t="s">
        <v>27</v>
      </c>
      <c r="B54" s="142"/>
      <c r="C54" s="142"/>
      <c r="D54" s="28">
        <f aca="true" t="shared" si="2" ref="D54:I54">D55</f>
        <v>0</v>
      </c>
      <c r="E54" s="29">
        <f t="shared" si="2"/>
        <v>0</v>
      </c>
      <c r="F54" s="42">
        <f t="shared" si="2"/>
        <v>0</v>
      </c>
      <c r="G54" s="43">
        <f t="shared" si="2"/>
        <v>0</v>
      </c>
      <c r="H54" s="44">
        <f t="shared" si="2"/>
        <v>0</v>
      </c>
      <c r="I54" s="33">
        <f t="shared" si="2"/>
        <v>0</v>
      </c>
    </row>
    <row r="55" spans="1:9" ht="12.75" customHeight="1">
      <c r="A55" s="34"/>
      <c r="B55" s="73">
        <v>69</v>
      </c>
      <c r="C55" s="46" t="s">
        <v>29</v>
      </c>
      <c r="D55" s="36">
        <f>IF(F55+H55=0,0,SUMIF('[2]xehet2'!S:S,69,'[2]xehet2'!T:T)/SUMIF('[2]xehet2'!S:S,69,'[2]xehet2'!D:D))</f>
        <v>0</v>
      </c>
      <c r="E55" s="37">
        <f>IF(H55=0,0,SUMIF('[2]xehet2'!V:V,269,'[2]xehet2'!T:T)/SUMIF('[2]xehet2'!V:V,269,'[2]xehet2'!D:D))</f>
        <v>0</v>
      </c>
      <c r="F55" s="38">
        <f>COUNTIF('[2]xehet2'!V:V,169)</f>
        <v>0</v>
      </c>
      <c r="G55" s="39">
        <f>SUMIF('[2]xehet2'!V:V,169,'[2]xehet2'!D:D)</f>
        <v>0</v>
      </c>
      <c r="H55" s="40">
        <f>COUNTIF('[2]xehet2'!V:V,269)</f>
        <v>0</v>
      </c>
      <c r="I55" s="41">
        <f>SUMIF('[2]xehet2'!V:V,269,'[2]xehet2'!D:D)</f>
        <v>0</v>
      </c>
    </row>
    <row r="56" spans="1:9" ht="12.75" customHeight="1">
      <c r="A56" s="143" t="s">
        <v>52</v>
      </c>
      <c r="B56" s="144"/>
      <c r="C56" s="145"/>
      <c r="D56" s="28">
        <f aca="true" t="shared" si="3" ref="D56:I56">D57</f>
        <v>0</v>
      </c>
      <c r="E56" s="29">
        <f t="shared" si="3"/>
        <v>0</v>
      </c>
      <c r="F56" s="42">
        <f t="shared" si="3"/>
        <v>0</v>
      </c>
      <c r="G56" s="43">
        <f t="shared" si="3"/>
        <v>0</v>
      </c>
      <c r="H56" s="44">
        <f t="shared" si="3"/>
        <v>0</v>
      </c>
      <c r="I56" s="33">
        <f t="shared" si="3"/>
        <v>0</v>
      </c>
    </row>
    <row r="57" spans="1:9" ht="12.75" customHeight="1">
      <c r="A57" s="34"/>
      <c r="B57" s="146" t="s">
        <v>53</v>
      </c>
      <c r="C57" s="147"/>
      <c r="D57" s="47"/>
      <c r="E57" s="48"/>
      <c r="F57" s="49"/>
      <c r="G57" s="50"/>
      <c r="H57" s="51"/>
      <c r="I57" s="52"/>
    </row>
    <row r="58" spans="1:9" ht="12.75" customHeight="1" thickBot="1">
      <c r="A58" s="148" t="s">
        <v>12</v>
      </c>
      <c r="B58" s="149"/>
      <c r="C58" s="150"/>
      <c r="D58" s="53">
        <f>IF(G58+I58=0,0,(D48*(G48+I48)+D54*(G54+I54)+D56*(G56+I56))/(G58+I58))</f>
        <v>0</v>
      </c>
      <c r="E58" s="54">
        <f>IF(I58=0,0,(E48*I48+E54*I54+E56*I56)/I58)</f>
        <v>0</v>
      </c>
      <c r="F58" s="55">
        <f>F48+F54+F56</f>
        <v>0</v>
      </c>
      <c r="G58" s="56">
        <f>G48+G54+G56</f>
        <v>0</v>
      </c>
      <c r="H58" s="57">
        <f>H48+H54+H56</f>
        <v>0</v>
      </c>
      <c r="I58" s="58">
        <f>I48+I54+I56</f>
        <v>0</v>
      </c>
    </row>
    <row r="59" spans="1:9" ht="12.75" customHeight="1">
      <c r="A59" s="1" t="s">
        <v>32</v>
      </c>
      <c r="D59" s="59">
        <f>IF(SUM('[2]xehet2'!D:D)=0,0,SUM('[2]xehet2'!T:T)/SUM('[2]xehet2'!D:D))-IF((G48+I48+G54+I54)=0,0,(D48*(G48+I48)+D54*(G54+I54))/(G48+I48+G54+I54))</f>
        <v>0</v>
      </c>
      <c r="E59" s="59">
        <f>IF(SUMIF('[2]xehet2'!V:V,"&gt;199",'[2]xehet2'!D:D)=0,0,SUMIF('[2]xehet2'!V:V,"&gt;199",'[2]xehet2'!T:T)/SUMIF('[2]xehet2'!V:V,"&gt;199",'[2]xehet2'!D:D))-IF(I48+I54=0,0,(E48*I48+E54*I54)/(I48+I54))</f>
        <v>0</v>
      </c>
      <c r="F59" s="59">
        <f>COUNTIF('[2]xehet2'!P:P,"&lt;=30")-F58+F57</f>
        <v>0</v>
      </c>
      <c r="G59" s="59">
        <f>SUMIF('[2]xehet2'!P:P,"&lt;=30",'[2]xehet2'!D:D)-G58+G57</f>
        <v>0</v>
      </c>
      <c r="H59" s="59">
        <f>COUNTIF('[2]xehet2'!P:P,"&gt;30")-H58+H57</f>
        <v>0</v>
      </c>
      <c r="I59" s="59">
        <f>SUMIF('[2]xehet2'!P:P,"&gt;30",'[2]xehet2'!D:D)-I58+I57</f>
        <v>0</v>
      </c>
    </row>
    <row r="60" spans="4:9" ht="12.75" customHeight="1">
      <c r="D60" s="60"/>
      <c r="E60" s="60"/>
      <c r="F60" s="60"/>
      <c r="G60" s="60"/>
      <c r="H60" s="60"/>
      <c r="I60" s="60"/>
    </row>
    <row r="63" spans="1:9" s="2" customFormat="1" ht="15.75">
      <c r="A63" s="74" t="s">
        <v>54</v>
      </c>
      <c r="B63" s="75"/>
      <c r="C63" s="75"/>
      <c r="D63" s="75"/>
      <c r="E63" s="75"/>
      <c r="F63" s="75"/>
      <c r="G63" s="75"/>
      <c r="H63" s="75"/>
      <c r="I63" s="75"/>
    </row>
    <row r="64" spans="1:9" ht="12.75" customHeight="1">
      <c r="A64" s="76"/>
      <c r="B64" s="60"/>
      <c r="C64" s="60"/>
      <c r="D64" s="60"/>
      <c r="E64" s="60"/>
      <c r="F64" s="60"/>
      <c r="G64" s="60"/>
      <c r="H64" s="60"/>
      <c r="I64" s="60"/>
    </row>
    <row r="65" spans="1:9" ht="12.75" customHeight="1">
      <c r="A65" s="76"/>
      <c r="B65" s="60"/>
      <c r="C65" s="60"/>
      <c r="D65" s="60"/>
      <c r="E65" s="60"/>
      <c r="F65" s="60"/>
      <c r="G65" s="60"/>
      <c r="H65" s="60"/>
      <c r="I65" s="60"/>
    </row>
    <row r="66" s="22" customFormat="1" ht="13.5" thickBot="1">
      <c r="A66" s="21" t="s">
        <v>55</v>
      </c>
    </row>
    <row r="67" spans="1:7" ht="33.75">
      <c r="A67" s="129" t="s">
        <v>56</v>
      </c>
      <c r="B67" s="130"/>
      <c r="C67" s="131"/>
      <c r="D67" s="77" t="s">
        <v>57</v>
      </c>
      <c r="E67" s="78" t="s">
        <v>58</v>
      </c>
      <c r="F67" s="79" t="s">
        <v>15</v>
      </c>
      <c r="G67" s="80"/>
    </row>
    <row r="68" spans="1:6" ht="12.75" customHeight="1">
      <c r="A68" s="81"/>
      <c r="B68" s="109" t="s">
        <v>16</v>
      </c>
      <c r="C68" s="110"/>
      <c r="D68" s="82">
        <f>IF(E68=0,0,SUMIF('[2]xehet32'!T:T,22,'[2]xehet32'!R:R)/SUMIF('[2]xehet32'!T:T,22,'[2]xehet32'!D:D))</f>
        <v>0</v>
      </c>
      <c r="E68" s="83">
        <f>COUNTIF('[2]xehet32'!T:T,22)</f>
        <v>0</v>
      </c>
      <c r="F68" s="41">
        <f>SUMIF('[2]xehet32'!T:T,22,'[2]xehet32'!D:D)</f>
        <v>0</v>
      </c>
    </row>
    <row r="69" spans="1:6" ht="12.75" customHeight="1">
      <c r="A69" s="34"/>
      <c r="B69" s="111" t="s">
        <v>27</v>
      </c>
      <c r="C69" s="112"/>
      <c r="D69" s="82">
        <f>IF(E69=0,0,SUMIF('[2]xehet32'!T:T,26,'[2]xehet32'!R:R)/SUMIF('[2]xehet32'!T:T,26,'[2]xehet32'!D:D))</f>
        <v>0</v>
      </c>
      <c r="E69" s="83">
        <f>COUNTIF('[2]xehet32'!T:T,26)</f>
        <v>0</v>
      </c>
      <c r="F69" s="41">
        <f>SUMIF('[2]xehet32'!T:T,26,'[2]xehet32'!D:D)</f>
        <v>0</v>
      </c>
    </row>
    <row r="70" spans="1:6" ht="12.75" customHeight="1">
      <c r="A70" s="67"/>
      <c r="B70" s="124" t="s">
        <v>53</v>
      </c>
      <c r="C70" s="125"/>
      <c r="D70" s="82">
        <f>IF(E70=0,0,SUMIF('[2]xehet32'!T:T,29,'[2]xehet32'!R:R)/SUMIF('[2]xehet32'!T:T,29,'[2]xehet32'!D:D))</f>
        <v>0</v>
      </c>
      <c r="E70" s="83">
        <f>COUNTIF('[2]xehet32'!T:T,29)</f>
        <v>0</v>
      </c>
      <c r="F70" s="41">
        <f>SUMIF('[2]xehet32'!T:T,29,'[2]xehet32'!D:D)</f>
        <v>0</v>
      </c>
    </row>
    <row r="71" spans="1:6" ht="12.75" customHeight="1" thickBot="1">
      <c r="A71" s="126" t="s">
        <v>12</v>
      </c>
      <c r="B71" s="127"/>
      <c r="C71" s="128"/>
      <c r="D71" s="84">
        <f>IF(F71=0,0,(D68*F68+D69*F69+D70*F70)/F71)</f>
        <v>0</v>
      </c>
      <c r="E71" s="57">
        <f>SUM(E68:E70)</f>
        <v>0</v>
      </c>
      <c r="F71" s="85">
        <f>SUM(F68:F70)</f>
        <v>0</v>
      </c>
    </row>
    <row r="72" spans="4:6" ht="12.75" customHeight="1">
      <c r="D72" s="59">
        <f>IF(D73=0,0,(SUMIF('[2]xehet32'!O:O,"&gt;90",'[2]xehet32'!R:R)/SUMIF('[2]xehet32'!O:O,"&gt;90",'[2]xehet32'!D:D)))-IF(D71="",0,D71)</f>
        <v>0</v>
      </c>
      <c r="E72" s="59">
        <f>COUNTIF('[2]xehet32'!O:O,"&gt;90")-E71</f>
        <v>0</v>
      </c>
      <c r="F72" s="59">
        <f>SUMIF('[2]xehet32'!O:O,"&gt;90",'[2]xehet32'!D:D)-F71</f>
        <v>0</v>
      </c>
    </row>
    <row r="73" spans="4:6" ht="12.75" customHeight="1">
      <c r="D73" s="86">
        <f>SUMIF('[2]xehet32'!O:O,"&gt;90",'[2]xehet32'!D:D)</f>
        <v>0</v>
      </c>
      <c r="E73" s="60"/>
      <c r="F73" s="60"/>
    </row>
    <row r="74" s="22" customFormat="1" ht="13.5" thickBot="1">
      <c r="A74" s="21" t="s">
        <v>59</v>
      </c>
    </row>
    <row r="75" spans="1:7" ht="12.75" customHeight="1">
      <c r="A75" s="129" t="s">
        <v>60</v>
      </c>
      <c r="B75" s="130"/>
      <c r="C75" s="131"/>
      <c r="D75" s="135" t="s">
        <v>61</v>
      </c>
      <c r="E75" s="136"/>
      <c r="F75" s="136"/>
      <c r="G75" s="137"/>
    </row>
    <row r="76" spans="1:7" ht="12.75" customHeight="1">
      <c r="A76" s="132"/>
      <c r="B76" s="133"/>
      <c r="C76" s="134"/>
      <c r="D76" s="25" t="s">
        <v>36</v>
      </c>
      <c r="E76" s="26" t="s">
        <v>37</v>
      </c>
      <c r="F76" s="26" t="s">
        <v>15</v>
      </c>
      <c r="G76" s="27" t="s">
        <v>37</v>
      </c>
    </row>
    <row r="77" spans="1:7" ht="12.75" customHeight="1">
      <c r="A77" s="81"/>
      <c r="B77" s="109" t="s">
        <v>38</v>
      </c>
      <c r="C77" s="110"/>
      <c r="D77" s="38">
        <f>COUNTIF('[2]xehet32'!O:O,"&lt;=30")</f>
        <v>27</v>
      </c>
      <c r="E77" s="87">
        <f>IF($D$81=0,0,D77*100/$D$81)</f>
        <v>93.10344827586206</v>
      </c>
      <c r="F77" s="39">
        <f>SUMIF('[2]xehet32'!O:O,"&lt;=30",'[2]xehet32'!D:D)</f>
        <v>9585.799999999997</v>
      </c>
      <c r="G77" s="88">
        <f>IF($F$81=0,0,F77*100/$F$81)</f>
        <v>92.08473586326677</v>
      </c>
    </row>
    <row r="78" spans="1:7" ht="12.75" customHeight="1">
      <c r="A78" s="34"/>
      <c r="B78" s="111" t="s">
        <v>62</v>
      </c>
      <c r="C78" s="112"/>
      <c r="D78" s="38">
        <f>COUNTIF('[2]xehet32'!O:O,"&lt;=60")-D77</f>
        <v>2</v>
      </c>
      <c r="E78" s="87">
        <f>IF($D$81=0,0,D78*100/$D$81)</f>
        <v>6.896551724137931</v>
      </c>
      <c r="F78" s="39">
        <f>SUMIF('[2]xehet32'!O:O,"&lt;=60",'[2]xehet32'!D:D)-F77</f>
        <v>823.960000000001</v>
      </c>
      <c r="G78" s="88">
        <f>IF($F$81=0,0,F78*100/$F$81)</f>
        <v>7.915264136733229</v>
      </c>
    </row>
    <row r="79" spans="1:7" ht="12.75" customHeight="1">
      <c r="A79" s="34"/>
      <c r="B79" s="113" t="s">
        <v>63</v>
      </c>
      <c r="C79" s="114"/>
      <c r="D79" s="38">
        <f>COUNTIF('[2]xehet32'!O:O,"&lt;=90")-SUM(D77:D78)</f>
        <v>0</v>
      </c>
      <c r="E79" s="87">
        <f>IF($D$81=0,0,D79*100/$D$81)</f>
        <v>0</v>
      </c>
      <c r="F79" s="39">
        <f>SUMIF('[2]xehet32'!O:O,"&lt;=90",'[2]xehet32'!D:D)-SUM(F77:F78)</f>
        <v>0</v>
      </c>
      <c r="G79" s="88">
        <f>IF($F$81=0,0,F79*100/$F$81)</f>
        <v>0</v>
      </c>
    </row>
    <row r="80" spans="1:7" ht="12.75" customHeight="1">
      <c r="A80" s="34"/>
      <c r="B80" s="113" t="s">
        <v>64</v>
      </c>
      <c r="C80" s="114"/>
      <c r="D80" s="38">
        <f>COUNTIF('[2]xehet32'!O:O,"&gt;90")</f>
        <v>0</v>
      </c>
      <c r="E80" s="87">
        <f>IF($D$81=0,0,D80*100/$D$81)</f>
        <v>0</v>
      </c>
      <c r="F80" s="39">
        <f>SUMIF('[2]xehet32'!O:O,"&gt;90",'[2]xehet32'!D:D)</f>
        <v>0</v>
      </c>
      <c r="G80" s="88">
        <f>IF($F$81=0,0,F80*100/$F$81)</f>
        <v>0</v>
      </c>
    </row>
    <row r="81" spans="1:7" ht="12.75" customHeight="1" thickBot="1">
      <c r="A81" s="115" t="s">
        <v>12</v>
      </c>
      <c r="B81" s="116"/>
      <c r="C81" s="117"/>
      <c r="D81" s="55">
        <f>SUM(D77:D80)</f>
        <v>29</v>
      </c>
      <c r="E81" s="89">
        <f>SUM(E77:E80)</f>
        <v>100</v>
      </c>
      <c r="F81" s="56">
        <f>SUM(F77:F80)</f>
        <v>10409.759999999998</v>
      </c>
      <c r="G81" s="90">
        <f>SUM(G77:G80)</f>
        <v>100</v>
      </c>
    </row>
    <row r="82" spans="1:7" ht="12.75" customHeight="1">
      <c r="A82" s="72"/>
      <c r="B82" s="72"/>
      <c r="C82" s="72"/>
      <c r="D82" s="59">
        <f>COUNT('[2]xehet32'!D:D)-D81</f>
        <v>0</v>
      </c>
      <c r="E82" s="59"/>
      <c r="F82" s="59">
        <f>SUM('[2]xehet32'!D:D)-F81</f>
        <v>0</v>
      </c>
      <c r="G82" s="60"/>
    </row>
    <row r="83" spans="1:7" ht="12.75" customHeight="1">
      <c r="A83" s="72"/>
      <c r="B83" s="72"/>
      <c r="C83" s="72"/>
      <c r="D83" s="59">
        <f>E71-D80</f>
        <v>0</v>
      </c>
      <c r="E83" s="59"/>
      <c r="F83" s="59">
        <f>F71-F80</f>
        <v>0</v>
      </c>
      <c r="G83" s="60"/>
    </row>
    <row r="84" spans="1:7" ht="12.75" customHeight="1">
      <c r="A84" s="72"/>
      <c r="B84" s="72"/>
      <c r="C84" s="72"/>
      <c r="D84" s="16"/>
      <c r="E84" s="16"/>
      <c r="F84" s="60"/>
      <c r="G84" s="60"/>
    </row>
    <row r="85" spans="1:5" s="2" customFormat="1" ht="15.75">
      <c r="A85" s="74" t="s">
        <v>65</v>
      </c>
      <c r="B85" s="91"/>
      <c r="C85" s="91"/>
      <c r="D85" s="92"/>
      <c r="E85" s="92"/>
    </row>
    <row r="86" spans="1:5" ht="12.75" customHeight="1">
      <c r="A86" s="76"/>
      <c r="B86" s="72"/>
      <c r="C86" s="72"/>
      <c r="D86" s="16"/>
      <c r="E86" s="16"/>
    </row>
    <row r="87" ht="12.75" customHeight="1" thickBot="1"/>
    <row r="88" spans="1:8" ht="12.75" customHeight="1">
      <c r="A88" s="118" t="s">
        <v>66</v>
      </c>
      <c r="B88" s="119"/>
      <c r="C88" s="120"/>
      <c r="D88" s="100" t="s">
        <v>67</v>
      </c>
      <c r="E88" s="101"/>
      <c r="F88" s="100" t="s">
        <v>68</v>
      </c>
      <c r="G88" s="101"/>
      <c r="H88" s="102" t="s">
        <v>69</v>
      </c>
    </row>
    <row r="89" spans="1:8" ht="12.75" customHeight="1">
      <c r="A89" s="121"/>
      <c r="B89" s="122"/>
      <c r="C89" s="123"/>
      <c r="D89" s="93" t="s">
        <v>70</v>
      </c>
      <c r="E89" s="94" t="s">
        <v>71</v>
      </c>
      <c r="F89" s="93" t="s">
        <v>70</v>
      </c>
      <c r="G89" s="94" t="s">
        <v>71</v>
      </c>
      <c r="H89" s="103"/>
    </row>
    <row r="90" spans="1:8" ht="12.75" customHeight="1" thickBot="1">
      <c r="A90" s="104">
        <f>D3</f>
        <v>0</v>
      </c>
      <c r="B90" s="105"/>
      <c r="C90" s="106"/>
      <c r="D90" s="95">
        <f>IF((SUM('[2]xehet1'!D:D)+G24+I24)=0,0,(SUM('[2]xehet1'!U:U)+D24*(G24+I24))/(SUM('[2]xehet1'!D:D)+G24+I24))</f>
        <v>-25.93790125526195</v>
      </c>
      <c r="E90" s="96">
        <f>SUM('[2]xehet1'!D:D)+G24+I24</f>
        <v>115736.7999999999</v>
      </c>
      <c r="F90" s="95">
        <f>IF((SUM('[2]xehet2'!D:D)+SUM('[2]xehet32'!D:D)+G56+I56)=0,0,(SUM('[2]xehet2'!U:U)+SUM('[2]xehet32'!S:S)+D56*(G56+I56))/(SUM('[2]xehet2'!D:D)+SUM('[2]xehet32'!D:D)+G56+I56))</f>
        <v>-30.688777647131165</v>
      </c>
      <c r="G90" s="96">
        <f>SUM('[2]xehet2'!D:D)+SUM('[2]xehet32'!D:D)+G56+I56</f>
        <v>10409.759999999998</v>
      </c>
      <c r="H90" s="97">
        <f>IF(E90=0,F90,IF(G90=0,D90,(D90*E90+F90*G90)/(E90+G90)))</f>
        <v>-26.32994906876574</v>
      </c>
    </row>
    <row r="91" spans="4:8" ht="12.75" customHeight="1">
      <c r="D91" s="98"/>
      <c r="E91" s="59">
        <f>E90-F38</f>
        <v>0</v>
      </c>
      <c r="F91" s="59"/>
      <c r="G91" s="59">
        <f>G90-G58-I58-F81</f>
        <v>0</v>
      </c>
      <c r="H91" s="59">
        <f>IF(H92=0,0,(SUM('[2]xehet1'!U:U)+SUM('[2]xehet2'!U:U)+SUM('[2]xehet32'!S:S)+D24*(G24+I24)+D56*(G56+I56))/(SUM('[2]xehet1'!D:D)+SUM('[2]xehet2'!D:D)+SUM('[2]xehet32'!D:D)+G24+I24+G56+I56))-IF(H90="",0,H90)</f>
        <v>0</v>
      </c>
    </row>
    <row r="92" spans="1:8" ht="12.75" customHeight="1" thickBot="1">
      <c r="A92" s="20" t="s">
        <v>72</v>
      </c>
      <c r="E92" s="60"/>
      <c r="F92" s="60"/>
      <c r="G92" s="60"/>
      <c r="H92" s="99">
        <f>(SUM('[2]xehet1'!D:D)+SUM('[2]xehet2'!D:D)+SUM('[2]xehet32'!D:D)+G24+I24+G56+I56)</f>
        <v>126146.5599999999</v>
      </c>
    </row>
    <row r="93" spans="2:8" ht="43.5" customHeight="1" thickBot="1">
      <c r="B93" s="107"/>
      <c r="C93" s="108"/>
      <c r="E93" s="60"/>
      <c r="F93" s="60"/>
      <c r="G93" s="60"/>
      <c r="H93" s="60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38:C38"/>
    <mergeCell ref="A16:C16"/>
    <mergeCell ref="A22:C22"/>
    <mergeCell ref="A24:C24"/>
    <mergeCell ref="B25:C25"/>
    <mergeCell ref="A26:C26"/>
    <mergeCell ref="A31:C32"/>
    <mergeCell ref="D31:G31"/>
    <mergeCell ref="B33:C33"/>
    <mergeCell ref="B34:C34"/>
    <mergeCell ref="B36:C36"/>
    <mergeCell ref="B37:C37"/>
    <mergeCell ref="A45:C47"/>
    <mergeCell ref="D45:E45"/>
    <mergeCell ref="F45:I45"/>
    <mergeCell ref="D46:E46"/>
    <mergeCell ref="F46:G46"/>
    <mergeCell ref="H46:I46"/>
    <mergeCell ref="D75:G75"/>
    <mergeCell ref="A48:C48"/>
    <mergeCell ref="A54:C54"/>
    <mergeCell ref="A56:C56"/>
    <mergeCell ref="B57:C57"/>
    <mergeCell ref="A58:C58"/>
    <mergeCell ref="A67:C67"/>
    <mergeCell ref="B68:C68"/>
    <mergeCell ref="B69:C69"/>
    <mergeCell ref="B70:C70"/>
    <mergeCell ref="A71:C71"/>
    <mergeCell ref="A75:C76"/>
    <mergeCell ref="B77:C77"/>
    <mergeCell ref="B78:C78"/>
    <mergeCell ref="B79:C79"/>
    <mergeCell ref="B80:C80"/>
    <mergeCell ref="A81:C81"/>
    <mergeCell ref="D88:E88"/>
    <mergeCell ref="F88:G88"/>
    <mergeCell ref="H88:H89"/>
    <mergeCell ref="A90:C90"/>
    <mergeCell ref="B93:C93"/>
    <mergeCell ref="A88:C89"/>
  </mergeCells>
  <conditionalFormatting sqref="H90">
    <cfRule type="expression" priority="15" dxfId="30" stopIfTrue="1">
      <formula>$E$90+$G$90=0</formula>
    </cfRule>
  </conditionalFormatting>
  <conditionalFormatting sqref="G77:G80">
    <cfRule type="expression" priority="14" dxfId="30" stopIfTrue="1">
      <formula>F$81=0</formula>
    </cfRule>
  </conditionalFormatting>
  <conditionalFormatting sqref="D17:D21 D23 D49:D53 D55 D68:D70">
    <cfRule type="expression" priority="13" dxfId="30" stopIfTrue="1">
      <formula>F17+H17=0</formula>
    </cfRule>
  </conditionalFormatting>
  <conditionalFormatting sqref="E17:E21 E23 E49:E53 E55">
    <cfRule type="expression" priority="12" dxfId="30" stopIfTrue="1">
      <formula>H17=0</formula>
    </cfRule>
  </conditionalFormatting>
  <conditionalFormatting sqref="D56 D22 D24 D48 D54">
    <cfRule type="expression" priority="11" dxfId="31" stopIfTrue="1">
      <formula>F22+H22=0</formula>
    </cfRule>
  </conditionalFormatting>
  <conditionalFormatting sqref="E16 E22 E24 E48 E54 E56">
    <cfRule type="expression" priority="10" dxfId="31" stopIfTrue="1">
      <formula>H16=0</formula>
    </cfRule>
  </conditionalFormatting>
  <conditionalFormatting sqref="E77:E80">
    <cfRule type="expression" priority="9" dxfId="30" stopIfTrue="1">
      <formula>$D$81=0</formula>
    </cfRule>
  </conditionalFormatting>
  <conditionalFormatting sqref="E38">
    <cfRule type="expression" priority="8" dxfId="31" stopIfTrue="1">
      <formula>$D$38=0</formula>
    </cfRule>
  </conditionalFormatting>
  <conditionalFormatting sqref="G38">
    <cfRule type="expression" priority="7" dxfId="31" stopIfTrue="1">
      <formula>$F$38=0</formula>
    </cfRule>
  </conditionalFormatting>
  <conditionalFormatting sqref="A1:B1 E91:H91 D39:F40 D59:I59 D72:F72 D82:F83 H27:I27 E27:F27">
    <cfRule type="cellIs" priority="6" dxfId="30" operator="equal" stopIfTrue="1">
      <formula>0</formula>
    </cfRule>
  </conditionalFormatting>
  <conditionalFormatting sqref="D16">
    <cfRule type="expression" priority="5" dxfId="31" stopIfTrue="1">
      <formula>F16+H16=0</formula>
    </cfRule>
  </conditionalFormatting>
  <conditionalFormatting sqref="D26:E26 D58:E58">
    <cfRule type="cellIs" priority="4" dxfId="31" operator="equal" stopIfTrue="1">
      <formula>0</formula>
    </cfRule>
  </conditionalFormatting>
  <conditionalFormatting sqref="D27">
    <cfRule type="cellIs" priority="2" dxfId="30" operator="equal" stopIfTrue="1">
      <formula>0</formula>
    </cfRule>
    <cfRule type="expression" priority="3" dxfId="30" stopIfTrue="1">
      <formula>"SUMA(xehet1!D:D)=0"</formula>
    </cfRule>
  </conditionalFormatting>
  <conditionalFormatting sqref="G27">
    <cfRule type="cellIs" priority="1" dxfId="3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Bakartxo Villar</dc:creator>
  <cp:keywords/>
  <dc:description/>
  <cp:lastModifiedBy>USR16</cp:lastModifiedBy>
  <dcterms:created xsi:type="dcterms:W3CDTF">2015-06-16T06:09:56Z</dcterms:created>
  <dcterms:modified xsi:type="dcterms:W3CDTF">2015-06-18T12:03:04Z</dcterms:modified>
  <cp:category/>
  <cp:version/>
  <cp:contentType/>
  <cp:contentStatus/>
</cp:coreProperties>
</file>