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66" activeTab="0"/>
  </bookViews>
  <sheets>
    <sheet name="TXOSTENA" sheetId="1" r:id="rId1"/>
    <sheet name="xehet1" sheetId="2" r:id="rId2"/>
    <sheet name="xehet2" sheetId="3" r:id="rId3"/>
    <sheet name="xehet32" sheetId="4" r:id="rId4"/>
  </sheets>
  <definedNames>
    <definedName name="_xlnm.Print_Area" localSheetId="1">'xehet1'!$A$3:$R$85</definedName>
    <definedName name="_xlnm.Print_Area" localSheetId="2">'xehet2'!$A$1:$R$21</definedName>
    <definedName name="_xlnm.Print_Area" localSheetId="3">'xehet32'!$A$3:$P$7</definedName>
  </definedNames>
  <calcPr fullCalcOnLoad="1"/>
</workbook>
</file>

<file path=xl/sharedStrings.xml><?xml version="1.0" encoding="utf-8"?>
<sst xmlns="http://schemas.openxmlformats.org/spreadsheetml/2006/main" count="763" uniqueCount="682">
  <si>
    <t>20 -</t>
  </si>
  <si>
    <t>21 -</t>
  </si>
  <si>
    <t>22 -</t>
  </si>
  <si>
    <t>23 -</t>
  </si>
  <si>
    <t>Toki entitatea:</t>
  </si>
  <si>
    <t>Ekitaldia:</t>
  </si>
  <si>
    <t>Hiruhilekoa:</t>
  </si>
  <si>
    <t>Errentamenduak eta kanonak</t>
  </si>
  <si>
    <t>Materiala, hornidura eta beste batzuk</t>
  </si>
  <si>
    <t>Kalte-ordaina zerbitzuagatik</t>
  </si>
  <si>
    <t>Inbertsio errealak</t>
  </si>
  <si>
    <t>Guztira</t>
  </si>
  <si>
    <t>Ordainketa kopurua</t>
  </si>
  <si>
    <t>Zenbateko osoa</t>
  </si>
  <si>
    <t>Hiruhilekoan egindako ordainketak</t>
  </si>
  <si>
    <t>Eragiketa kopurua</t>
  </si>
  <si>
    <t>Hiruhilekoa amaitzean ordaintzeko daudenak</t>
  </si>
  <si>
    <t>Kopurua</t>
  </si>
  <si>
    <t>Gastuak ondasun arruntetan eta zerbitzuetan</t>
  </si>
  <si>
    <t>Konponketa, mantenimendua eta kontserbazioa</t>
  </si>
  <si>
    <t>Aurrekontura aplikatzeko daudenak</t>
  </si>
  <si>
    <t>ORDAINKETA EPEAREN INFORMAZIOA</t>
  </si>
  <si>
    <t>Hiruhileko ordainketak</t>
  </si>
  <si>
    <t>Bestelakoak</t>
  </si>
  <si>
    <t>2X -</t>
  </si>
  <si>
    <t>Aurrekontura aplikatzeko dauden ordainketak</t>
  </si>
  <si>
    <t>6X -</t>
  </si>
  <si>
    <t xml:space="preserve"> Inbertsio errealak </t>
  </si>
  <si>
    <t>1. Hiruhilekoan egindako ordainketak. Ordainketa epea obligazioa onartu zenetik hasita.</t>
  </si>
  <si>
    <t>1.1. Sailkapen ekonomikoaren arabera</t>
  </si>
  <si>
    <t>1.2. Epearen arabera</t>
  </si>
  <si>
    <t xml:space="preserve">Hiru hilabete ondoren obligazioa onartu gabe duten fakturak eta ordainagiriak </t>
  </si>
  <si>
    <t>Hiruhilekoa amaitzean ordaindu gabe dauden fakturak eta ordainagiriak</t>
  </si>
  <si>
    <t>Ordainketa epea</t>
  </si>
  <si>
    <t>Epez kanpokoena</t>
  </si>
  <si>
    <t>Legezko epearen barruan</t>
  </si>
  <si>
    <t>Legezko epetik kanpo</t>
  </si>
  <si>
    <t>2. Ordaindu gabe gelditu diren fakturak. Epea obligazioa onartu zenetik hasita.</t>
  </si>
  <si>
    <t>3.1. Erregistroan idatzi zirenetik hiru hilabetetik gora daramatenak</t>
  </si>
  <si>
    <t>30 egun edo gutxiago</t>
  </si>
  <si>
    <t>31 eta 60 egun bitartean</t>
  </si>
  <si>
    <t>61 eta 90 egun bitartean</t>
  </si>
  <si>
    <t>90 egun baino gehiago</t>
  </si>
  <si>
    <t>Epea</t>
  </si>
  <si>
    <t>Zenbatekoa</t>
  </si>
  <si>
    <t>Epea
(egunak batez beste)</t>
  </si>
  <si>
    <t>(egunak batez beste)</t>
  </si>
  <si>
    <t>3.2. Erregistroan idatzi zirenetik daramatzaten egunak</t>
  </si>
  <si>
    <t xml:space="preserve">Obligazioa onartu gabe duten fakturak eta ordainagiriak </t>
  </si>
  <si>
    <t>4. Entitatearen ordainketen batez besteko epea (OBBE)</t>
  </si>
  <si>
    <t>OBBE</t>
  </si>
  <si>
    <t>Hiruhilekoaren OBBE</t>
  </si>
  <si>
    <t>Ratioa</t>
  </si>
  <si>
    <t>Ordaindutako eragiketak</t>
  </si>
  <si>
    <t>Ordaindu gabeko eragiketak</t>
  </si>
  <si>
    <t>OBBEari buruzko oharrak:</t>
  </si>
  <si>
    <t>Egun kopurua</t>
  </si>
  <si>
    <t>Egindako ordainketak</t>
  </si>
  <si>
    <t>Faktura kopurua</t>
  </si>
  <si>
    <t>%</t>
  </si>
  <si>
    <t>31etik 40 egunetara</t>
  </si>
  <si>
    <t>41etik 50 egunetara</t>
  </si>
  <si>
    <t>51tik 60 egunetara</t>
  </si>
  <si>
    <t>60 egun baino gehiago</t>
  </si>
  <si>
    <t>3. Hiruhilekoa amaitzean obligazioa onartu gabe duten fakturak eta ordainagiriak</t>
  </si>
  <si>
    <t>Obligaziorik onartu gabeko fakturak</t>
  </si>
  <si>
    <t>Aurrekontuari aplikatu gabeko ordainketak*</t>
  </si>
  <si>
    <t>Aurrekontuari aplikatu gabeko fakturak*</t>
  </si>
  <si>
    <t>* 2. eta 6. kapituluari dagozkion fakturak soilik</t>
  </si>
  <si>
    <t>Hiruhilekoan ordaindutako fakturak</t>
  </si>
  <si>
    <t>Fra data</t>
  </si>
  <si>
    <t>Hirugarrena</t>
  </si>
  <si>
    <t>Azalpena</t>
  </si>
  <si>
    <t>Partida</t>
  </si>
  <si>
    <t>Erregto
 data</t>
  </si>
  <si>
    <t>Espte
 zkia</t>
  </si>
  <si>
    <t>Desz
 Data</t>
  </si>
  <si>
    <t>Epea
 R-O</t>
  </si>
  <si>
    <t>Epea
 O-P</t>
  </si>
  <si>
    <t>Epea
 R-P</t>
  </si>
  <si>
    <t>Hiruhilekoan ordaindu gabe gelditu direnak (O eginda)</t>
  </si>
  <si>
    <t>Hiruhilekoan O egin gabe gelditu direnak</t>
  </si>
  <si>
    <t>Epea
 R-HH buk</t>
  </si>
  <si>
    <t>ADO-17</t>
  </si>
  <si>
    <t>ADO-12</t>
  </si>
  <si>
    <t>Hirugar.
Kodea</t>
  </si>
  <si>
    <t>Fra zkia</t>
  </si>
  <si>
    <t>Epea
 O
 - HH buk</t>
  </si>
  <si>
    <t>Epea
 R 
 - HH buk</t>
  </si>
  <si>
    <t>Konponketak, mantenimendua eta artapena</t>
  </si>
  <si>
    <t>Materiala, hornidurak eta bestelakoak</t>
  </si>
  <si>
    <t>Kalte-ordainak zerbitzuagatik</t>
  </si>
  <si>
    <t>O-ren
 data</t>
  </si>
  <si>
    <t>P-ren
 data</t>
  </si>
  <si>
    <t>Artik</t>
  </si>
  <si>
    <t>ponderazioa 1</t>
  </si>
  <si>
    <t>ponderazioa 2</t>
  </si>
  <si>
    <t>Epean</t>
  </si>
  <si>
    <t>capit</t>
  </si>
  <si>
    <t>epean</t>
  </si>
  <si>
    <t>HH bukaera</t>
  </si>
  <si>
    <t>Hau ez bete</t>
  </si>
  <si>
    <t>hautazkoak</t>
  </si>
  <si>
    <t>betebeharrekoak</t>
  </si>
  <si>
    <t>29 -</t>
  </si>
  <si>
    <t>onarpena</t>
  </si>
  <si>
    <t>ordainketa</t>
  </si>
  <si>
    <t>OARSOALDEA</t>
  </si>
  <si>
    <t>4.hiruhilekoa</t>
  </si>
  <si>
    <t>FCC1701248</t>
  </si>
  <si>
    <t>FCC1701247</t>
  </si>
  <si>
    <t>FCC1701246</t>
  </si>
  <si>
    <t>FCC1701245</t>
  </si>
  <si>
    <t>FCC1701244</t>
  </si>
  <si>
    <t>FCC1701243</t>
  </si>
  <si>
    <t>FCC1701242</t>
  </si>
  <si>
    <t>FCC1701241</t>
  </si>
  <si>
    <t>FCC1701240</t>
  </si>
  <si>
    <t>FCC1701239</t>
  </si>
  <si>
    <t>FCC1701238</t>
  </si>
  <si>
    <t>FCC1701237</t>
  </si>
  <si>
    <t>FCC1701236</t>
  </si>
  <si>
    <t>FCC1701235</t>
  </si>
  <si>
    <t>FCC1701234</t>
  </si>
  <si>
    <t>FCC1701233</t>
  </si>
  <si>
    <t>FCC1701232</t>
  </si>
  <si>
    <t>FCC1701231</t>
  </si>
  <si>
    <t>FCC1701230</t>
  </si>
  <si>
    <t>FCC1701229</t>
  </si>
  <si>
    <t>FCC1701228</t>
  </si>
  <si>
    <t>FCC1701227</t>
  </si>
  <si>
    <t>FCC1701226</t>
  </si>
  <si>
    <t>FCC1701225</t>
  </si>
  <si>
    <t>FCC1701224</t>
  </si>
  <si>
    <t>FCC1701222</t>
  </si>
  <si>
    <t>FCC1701221</t>
  </si>
  <si>
    <t>FCC1701220</t>
  </si>
  <si>
    <t>FCC1701219</t>
  </si>
  <si>
    <t>FCC1701218</t>
  </si>
  <si>
    <t>FCC1701216</t>
  </si>
  <si>
    <t>FCC1701215</t>
  </si>
  <si>
    <t>FCC1701214</t>
  </si>
  <si>
    <t>FCC1701213</t>
  </si>
  <si>
    <t>FCC1701212</t>
  </si>
  <si>
    <t>FCC1701211</t>
  </si>
  <si>
    <t>FCC1701210</t>
  </si>
  <si>
    <t>FCC1701209</t>
  </si>
  <si>
    <t>FCC1701208</t>
  </si>
  <si>
    <t>FCC1701207</t>
  </si>
  <si>
    <t>FCC1701206</t>
  </si>
  <si>
    <t>FCC1701205</t>
  </si>
  <si>
    <t>FCC1701204</t>
  </si>
  <si>
    <t>FCC1701203</t>
  </si>
  <si>
    <t>FCC1701202</t>
  </si>
  <si>
    <t>FCC1701201</t>
  </si>
  <si>
    <t>FCC1701200</t>
  </si>
  <si>
    <t>FCC1701199</t>
  </si>
  <si>
    <t>FCC1701198</t>
  </si>
  <si>
    <t>FCC1701197</t>
  </si>
  <si>
    <t>FCC1701196</t>
  </si>
  <si>
    <t>FCC1701195</t>
  </si>
  <si>
    <t>FCC1701191</t>
  </si>
  <si>
    <t>FCC1701190</t>
  </si>
  <si>
    <t>FCC1701189</t>
  </si>
  <si>
    <t>FCC1701188</t>
  </si>
  <si>
    <t>FCC1701187</t>
  </si>
  <si>
    <t>FCC1701186</t>
  </si>
  <si>
    <t>FCC1701185</t>
  </si>
  <si>
    <t>FCC1701184</t>
  </si>
  <si>
    <t>FCC1701183</t>
  </si>
  <si>
    <t>FCC1701182</t>
  </si>
  <si>
    <t>FCC1701181</t>
  </si>
  <si>
    <t>FCC1701180</t>
  </si>
  <si>
    <t>FCC1701179</t>
  </si>
  <si>
    <t>FCC1701178</t>
  </si>
  <si>
    <t>FCC1701177</t>
  </si>
  <si>
    <t>FCC1701176</t>
  </si>
  <si>
    <t>FCC1701173</t>
  </si>
  <si>
    <t>FCC1701169</t>
  </si>
  <si>
    <t>FCC1701165</t>
  </si>
  <si>
    <t>FCC1701168</t>
  </si>
  <si>
    <t>FCC1701167</t>
  </si>
  <si>
    <t>FCC1701166</t>
  </si>
  <si>
    <t>FCC1701164</t>
  </si>
  <si>
    <t>FCC1701163</t>
  </si>
  <si>
    <t>FCC1701162</t>
  </si>
  <si>
    <t>FCC1701161</t>
  </si>
  <si>
    <t>FCC1701160</t>
  </si>
  <si>
    <t>FCC1701158</t>
  </si>
  <si>
    <t>FCC1701157</t>
  </si>
  <si>
    <t>FCC1701156</t>
  </si>
  <si>
    <t>FCC1701148</t>
  </si>
  <si>
    <t>FCC1701147</t>
  </si>
  <si>
    <t>FCC1701146</t>
  </si>
  <si>
    <t>FCC1701145</t>
  </si>
  <si>
    <t>FCC1701144</t>
  </si>
  <si>
    <t>FCC1701143</t>
  </si>
  <si>
    <t>FCC1701142</t>
  </si>
  <si>
    <t>FCC1701141</t>
  </si>
  <si>
    <t>FCC1701139</t>
  </si>
  <si>
    <t>FCC1701138</t>
  </si>
  <si>
    <t>FCC1701137</t>
  </si>
  <si>
    <t>FCC1701136</t>
  </si>
  <si>
    <t>FCC1701135</t>
  </si>
  <si>
    <t>FCC1701134</t>
  </si>
  <si>
    <t>FCC1701133</t>
  </si>
  <si>
    <t>FCC1701132</t>
  </si>
  <si>
    <t>FCC1701131</t>
  </si>
  <si>
    <t>FCC1701130</t>
  </si>
  <si>
    <t>FCC1701129</t>
  </si>
  <si>
    <t>FCC1701128</t>
  </si>
  <si>
    <t>FCC1701127</t>
  </si>
  <si>
    <t>FCC1701126</t>
  </si>
  <si>
    <t>FCC1701125</t>
  </si>
  <si>
    <t>FCC1701124</t>
  </si>
  <si>
    <t>FCC1701122</t>
  </si>
  <si>
    <t>FCC1701121</t>
  </si>
  <si>
    <t>FCC1701120</t>
  </si>
  <si>
    <t>FCC1701119</t>
  </si>
  <si>
    <t>FCC1701118</t>
  </si>
  <si>
    <t>FCC1701117</t>
  </si>
  <si>
    <t>FCC1701116</t>
  </si>
  <si>
    <t>FCC1701115</t>
  </si>
  <si>
    <t>FCC1701114</t>
  </si>
  <si>
    <t>FCC1701113</t>
  </si>
  <si>
    <t>FCC1701112</t>
  </si>
  <si>
    <t>FCC1701111</t>
  </si>
  <si>
    <t>FCC1701110</t>
  </si>
  <si>
    <t>FCC1701109</t>
  </si>
  <si>
    <t>FCC1701108</t>
  </si>
  <si>
    <t>FCC1701107</t>
  </si>
  <si>
    <t>FCC1701106</t>
  </si>
  <si>
    <t>FCC1701105</t>
  </si>
  <si>
    <t>FCC1701104</t>
  </si>
  <si>
    <t>FCC1701103</t>
  </si>
  <si>
    <t>FCC1701102</t>
  </si>
  <si>
    <t>FCC1701101</t>
  </si>
  <si>
    <t>FCC1701099</t>
  </si>
  <si>
    <t>FCC1701098</t>
  </si>
  <si>
    <t>FCC1701096</t>
  </si>
  <si>
    <t>FCC1701095</t>
  </si>
  <si>
    <t>FCC1701094</t>
  </si>
  <si>
    <t>FCC1701093</t>
  </si>
  <si>
    <t>FCC1701092</t>
  </si>
  <si>
    <t>FCC1701091</t>
  </si>
  <si>
    <t>FCC1701090</t>
  </si>
  <si>
    <t>FCC1701089</t>
  </si>
  <si>
    <t>FCC1701088</t>
  </si>
  <si>
    <t>FCC1701081</t>
  </si>
  <si>
    <t>FCC1701080</t>
  </si>
  <si>
    <t>FCC1701079</t>
  </si>
  <si>
    <t>FCC1701078</t>
  </si>
  <si>
    <t>FCC1701077</t>
  </si>
  <si>
    <t>FCC1701064</t>
  </si>
  <si>
    <t>FCC1701056</t>
  </si>
  <si>
    <t>FCC1701055</t>
  </si>
  <si>
    <t>FCC1701054</t>
  </si>
  <si>
    <t>FCC1701053</t>
  </si>
  <si>
    <t>FCC1701052</t>
  </si>
  <si>
    <t>FCC1701051</t>
  </si>
  <si>
    <t>FCC1701050</t>
  </si>
  <si>
    <t>FCC1701049</t>
  </si>
  <si>
    <t>FCC1701048</t>
  </si>
  <si>
    <t>FCC1701047</t>
  </si>
  <si>
    <t>FCC1701046</t>
  </si>
  <si>
    <t>FCC1701045</t>
  </si>
  <si>
    <t>FCC1701044</t>
  </si>
  <si>
    <t>FCC1701043</t>
  </si>
  <si>
    <t>FCC1701042</t>
  </si>
  <si>
    <t>FCC1701041</t>
  </si>
  <si>
    <t>FCC1701040</t>
  </si>
  <si>
    <t>FCC1701039</t>
  </si>
  <si>
    <t>FCC1701038</t>
  </si>
  <si>
    <t>FCC1701037</t>
  </si>
  <si>
    <t>FCC1701036</t>
  </si>
  <si>
    <t>FCC1701033</t>
  </si>
  <si>
    <t>FCC1701032</t>
  </si>
  <si>
    <t>FCC1701031</t>
  </si>
  <si>
    <t>FCC1701030</t>
  </si>
  <si>
    <t>FCC1701029</t>
  </si>
  <si>
    <t>FCC1701028</t>
  </si>
  <si>
    <t>FCC1701027</t>
  </si>
  <si>
    <t>FCC1701026</t>
  </si>
  <si>
    <t>FCC1701025</t>
  </si>
  <si>
    <t>FCC1701024</t>
  </si>
  <si>
    <t>FCC1701023</t>
  </si>
  <si>
    <t>FCC1701022</t>
  </si>
  <si>
    <t>FCC1701021</t>
  </si>
  <si>
    <t>FCC1701020</t>
  </si>
  <si>
    <t>FCC1701019</t>
  </si>
  <si>
    <t>FCC1701018</t>
  </si>
  <si>
    <t>FCC1701017</t>
  </si>
  <si>
    <t>FCC1701016</t>
  </si>
  <si>
    <t>FCC1701015</t>
  </si>
  <si>
    <t>FCC1701011</t>
  </si>
  <si>
    <t>FCC1701010</t>
  </si>
  <si>
    <t>FCC1701007</t>
  </si>
  <si>
    <t>FCC1701004</t>
  </si>
  <si>
    <t>FCC1701003</t>
  </si>
  <si>
    <t>FCC1701002</t>
  </si>
  <si>
    <t>FCC1701001</t>
  </si>
  <si>
    <t>FCC1701000</t>
  </si>
  <si>
    <t>FCC1700999</t>
  </si>
  <si>
    <t>FCC1700998</t>
  </si>
  <si>
    <t>FCC1700997</t>
  </si>
  <si>
    <t>FCC1700996</t>
  </si>
  <si>
    <t>FCC1700995</t>
  </si>
  <si>
    <t>FCC1700994</t>
  </si>
  <si>
    <t>FCC1700993</t>
  </si>
  <si>
    <t>FCC1700992</t>
  </si>
  <si>
    <t>FCC1700990</t>
  </si>
  <si>
    <t>FCC1700988</t>
  </si>
  <si>
    <t>FCC1700987</t>
  </si>
  <si>
    <t>FCC1700986</t>
  </si>
  <si>
    <t>FCC1700985</t>
  </si>
  <si>
    <t>FCC1700984</t>
  </si>
  <si>
    <t>FCC1700983</t>
  </si>
  <si>
    <t>FCC1700982</t>
  </si>
  <si>
    <t>FCC1700981</t>
  </si>
  <si>
    <t>FCC1700979</t>
  </si>
  <si>
    <t>FCC1700978</t>
  </si>
  <si>
    <t>FCC1700977</t>
  </si>
  <si>
    <t>FCC1700976</t>
  </si>
  <si>
    <t>FCC1700975</t>
  </si>
  <si>
    <t>FCC1700974</t>
  </si>
  <si>
    <t>FCC1700973</t>
  </si>
  <si>
    <t>FCC1700972</t>
  </si>
  <si>
    <t>FCC1700971</t>
  </si>
  <si>
    <t>FCC1700969</t>
  </si>
  <si>
    <t>FCC1700968</t>
  </si>
  <si>
    <t>FCC1700967</t>
  </si>
  <si>
    <t>FCC1700966</t>
  </si>
  <si>
    <t>FCC1700965</t>
  </si>
  <si>
    <t>FCC1700964</t>
  </si>
  <si>
    <t>FCC1700963</t>
  </si>
  <si>
    <t>FCC1700962</t>
  </si>
  <si>
    <t>FCC1700961</t>
  </si>
  <si>
    <t>FCC1700960</t>
  </si>
  <si>
    <t>FCC1700955</t>
  </si>
  <si>
    <t>FCC1700954</t>
  </si>
  <si>
    <t>FCC1700953</t>
  </si>
  <si>
    <t>FCC1700942</t>
  </si>
  <si>
    <t>FCC1700941</t>
  </si>
  <si>
    <t>FCC1700940</t>
  </si>
  <si>
    <t>FCC1700939</t>
  </si>
  <si>
    <t>FCC1700938</t>
  </si>
  <si>
    <t>FCC1700937</t>
  </si>
  <si>
    <t>FCC1700936</t>
  </si>
  <si>
    <t>FCC1700934</t>
  </si>
  <si>
    <t>FCC1700932</t>
  </si>
  <si>
    <t>FCC1700931</t>
  </si>
  <si>
    <t>FCC1700930</t>
  </si>
  <si>
    <t>FCC1700929</t>
  </si>
  <si>
    <t>FCC1700925</t>
  </si>
  <si>
    <t>FCC1700924</t>
  </si>
  <si>
    <t>FCC1700923</t>
  </si>
  <si>
    <t>FCC1700922</t>
  </si>
  <si>
    <t>FCC1700921</t>
  </si>
  <si>
    <t>FCC1700920</t>
  </si>
  <si>
    <t>FCC1700919</t>
  </si>
  <si>
    <t>FCC1700918</t>
  </si>
  <si>
    <t>FCC1700910</t>
  </si>
  <si>
    <t>FCC1700893</t>
  </si>
  <si>
    <t>FCC1700881</t>
  </si>
  <si>
    <t>FCC1700874</t>
  </si>
  <si>
    <t>FCC1700873</t>
  </si>
  <si>
    <t>FCC1700872</t>
  </si>
  <si>
    <t>FCC1700871</t>
  </si>
  <si>
    <t>FCC1700870</t>
  </si>
  <si>
    <t>FCC1700854</t>
  </si>
  <si>
    <t>FCC1700849</t>
  </si>
  <si>
    <t>FCC1700847</t>
  </si>
  <si>
    <t>20171129030365458</t>
  </si>
  <si>
    <t>20171129030367780</t>
  </si>
  <si>
    <t>20171129030367781</t>
  </si>
  <si>
    <t>20171030030467285</t>
  </si>
  <si>
    <t>20171030030467284</t>
  </si>
  <si>
    <t>20171030030471276</t>
  </si>
  <si>
    <t>2017-6914414</t>
  </si>
  <si>
    <t>LIQUIDAC. GTOS 4º TRIM</t>
  </si>
  <si>
    <t>17/20171888</t>
  </si>
  <si>
    <t>28-K7M0-040051</t>
  </si>
  <si>
    <t>20171129030390272</t>
  </si>
  <si>
    <t>20171030030616413</t>
  </si>
  <si>
    <t>20171030030616412</t>
  </si>
  <si>
    <t>20171030030616411</t>
  </si>
  <si>
    <t>20171129030390544</t>
  </si>
  <si>
    <t>20171129030406929</t>
  </si>
  <si>
    <t>20171129030443014</t>
  </si>
  <si>
    <t>20171129030496486</t>
  </si>
  <si>
    <t>20171129030496487</t>
  </si>
  <si>
    <t>20171129030496488</t>
  </si>
  <si>
    <t>21171228030006386</t>
  </si>
  <si>
    <t>21171228030011569</t>
  </si>
  <si>
    <t>21171228030017871</t>
  </si>
  <si>
    <t>21171228030017872</t>
  </si>
  <si>
    <t>21171228030017870</t>
  </si>
  <si>
    <t>09171228030007025</t>
  </si>
  <si>
    <t>20171030030504254</t>
  </si>
  <si>
    <t>TK17002754</t>
  </si>
  <si>
    <t>A-30</t>
  </si>
  <si>
    <t>541/17</t>
  </si>
  <si>
    <t>22017/138112</t>
  </si>
  <si>
    <t>2017-0240</t>
  </si>
  <si>
    <t>20171030030467281</t>
  </si>
  <si>
    <t>20171129030365456</t>
  </si>
  <si>
    <t>21171228030000036</t>
  </si>
  <si>
    <t>17520</t>
  </si>
  <si>
    <t>1217072</t>
  </si>
  <si>
    <t>00 00000448</t>
  </si>
  <si>
    <t>510/17/GIP</t>
  </si>
  <si>
    <t>20171030030467279</t>
  </si>
  <si>
    <t>20171030030467282</t>
  </si>
  <si>
    <t>20171030030583899</t>
  </si>
  <si>
    <t>20171129030365454</t>
  </si>
  <si>
    <t>20171129030365457</t>
  </si>
  <si>
    <t>20171129030461338</t>
  </si>
  <si>
    <t>21171228030000035</t>
  </si>
  <si>
    <t>21171228030013390</t>
  </si>
  <si>
    <t>5934</t>
  </si>
  <si>
    <t>1/2017</t>
  </si>
  <si>
    <t>360</t>
  </si>
  <si>
    <t>332</t>
  </si>
  <si>
    <t>331</t>
  </si>
  <si>
    <t>0301712FV0261</t>
  </si>
  <si>
    <t>01PBMWJ</t>
  </si>
  <si>
    <t>21171228030000037</t>
  </si>
  <si>
    <t>21171228030000051</t>
  </si>
  <si>
    <t>202</t>
  </si>
  <si>
    <t>00 00000453</t>
  </si>
  <si>
    <t>R00DBSK</t>
  </si>
  <si>
    <t>R00DECE</t>
  </si>
  <si>
    <t>01PBMWK</t>
  </si>
  <si>
    <t>01PBMWL</t>
  </si>
  <si>
    <t>01PBMWM</t>
  </si>
  <si>
    <t>01PLIDD</t>
  </si>
  <si>
    <t>01PLIDC</t>
  </si>
  <si>
    <t>01PLIDB</t>
  </si>
  <si>
    <t>01PLIDA</t>
  </si>
  <si>
    <t>FAKTURA</t>
  </si>
  <si>
    <t>291658187490-9</t>
  </si>
  <si>
    <t>6445</t>
  </si>
  <si>
    <t>17/A-085</t>
  </si>
  <si>
    <t>RI/17048545</t>
  </si>
  <si>
    <t>2017-258/E4389</t>
  </si>
  <si>
    <t>16</t>
  </si>
  <si>
    <t>15</t>
  </si>
  <si>
    <t>17524</t>
  </si>
  <si>
    <t>00 00000400</t>
  </si>
  <si>
    <t>1.429/2017</t>
  </si>
  <si>
    <t>0301709FV0157</t>
  </si>
  <si>
    <t>1701481</t>
  </si>
  <si>
    <t>17497</t>
  </si>
  <si>
    <t>A 24585</t>
  </si>
  <si>
    <t>001355</t>
  </si>
  <si>
    <t>87395</t>
  </si>
  <si>
    <t>201703363</t>
  </si>
  <si>
    <t>7000175505</t>
  </si>
  <si>
    <t>7000175504</t>
  </si>
  <si>
    <t>7000175264</t>
  </si>
  <si>
    <t>7000175506</t>
  </si>
  <si>
    <t>7000153387</t>
  </si>
  <si>
    <t>109FB2017417</t>
  </si>
  <si>
    <t>FLL AYE97963</t>
  </si>
  <si>
    <t>FLG AYE99078</t>
  </si>
  <si>
    <t>FLG AYE85733</t>
  </si>
  <si>
    <t>0301712FV0067</t>
  </si>
  <si>
    <t>G-13983</t>
  </si>
  <si>
    <t>377701</t>
  </si>
  <si>
    <t>CT0144</t>
  </si>
  <si>
    <t>3/170005498</t>
  </si>
  <si>
    <t>G-13989</t>
  </si>
  <si>
    <t>A 235</t>
  </si>
  <si>
    <t>SI2018003754</t>
  </si>
  <si>
    <t>17-S-3.421</t>
  </si>
  <si>
    <t>TA5S70076177</t>
  </si>
  <si>
    <t>7/2017</t>
  </si>
  <si>
    <t>28-L7M0-032232</t>
  </si>
  <si>
    <t>01/2017</t>
  </si>
  <si>
    <t>00 00000401</t>
  </si>
  <si>
    <t>00 00000402</t>
  </si>
  <si>
    <t>0301711FV0253</t>
  </si>
  <si>
    <t>00 00000403</t>
  </si>
  <si>
    <t>14</t>
  </si>
  <si>
    <t>20170552</t>
  </si>
  <si>
    <t>17396</t>
  </si>
  <si>
    <t>17446</t>
  </si>
  <si>
    <t>7250134224</t>
  </si>
  <si>
    <t>7250135356</t>
  </si>
  <si>
    <t>17-S-2.771</t>
  </si>
  <si>
    <t>1701355</t>
  </si>
  <si>
    <t>1701361</t>
  </si>
  <si>
    <t>A 177</t>
  </si>
  <si>
    <t>A 176</t>
  </si>
  <si>
    <t>B/792</t>
  </si>
  <si>
    <t>4-000080</t>
  </si>
  <si>
    <t>17/20171589</t>
  </si>
  <si>
    <t>17/20171590</t>
  </si>
  <si>
    <t>1419</t>
  </si>
  <si>
    <t>1712c0525176</t>
  </si>
  <si>
    <t>17469</t>
  </si>
  <si>
    <t>17/070</t>
  </si>
  <si>
    <t>E024</t>
  </si>
  <si>
    <t>291658187490-10</t>
  </si>
  <si>
    <t>000835/17</t>
  </si>
  <si>
    <t>000833/17</t>
  </si>
  <si>
    <t>000834/17</t>
  </si>
  <si>
    <t>17-000.284</t>
  </si>
  <si>
    <t>17-000.182</t>
  </si>
  <si>
    <t>5144</t>
  </si>
  <si>
    <t>AEU-INV-ES-2017-39173112</t>
  </si>
  <si>
    <t>112/18</t>
  </si>
  <si>
    <t>W17/24350</t>
  </si>
  <si>
    <t>Otz 17094</t>
  </si>
  <si>
    <t>201703047</t>
  </si>
  <si>
    <t>7250135355</t>
  </si>
  <si>
    <t>A-34</t>
  </si>
  <si>
    <t>0301711FV0248</t>
  </si>
  <si>
    <t>376644</t>
  </si>
  <si>
    <t>B/1578137</t>
  </si>
  <si>
    <t>B/1580540</t>
  </si>
  <si>
    <t>B/1584232</t>
  </si>
  <si>
    <t>B/1587177</t>
  </si>
  <si>
    <t>B/1591068</t>
  </si>
  <si>
    <t>B/1601444</t>
  </si>
  <si>
    <t>22017/087405</t>
  </si>
  <si>
    <t>22017/087406</t>
  </si>
  <si>
    <t>22017/088571</t>
  </si>
  <si>
    <t>22017/109777</t>
  </si>
  <si>
    <t>0301710FV0241</t>
  </si>
  <si>
    <t>17473</t>
  </si>
  <si>
    <t>172311</t>
  </si>
  <si>
    <t>1.339/2017</t>
  </si>
  <si>
    <t>SI2018002118</t>
  </si>
  <si>
    <t>0301709FV0149</t>
  </si>
  <si>
    <t>14-17</t>
  </si>
  <si>
    <t>17/A-080</t>
  </si>
  <si>
    <t>00 00000426</t>
  </si>
  <si>
    <t>117/2017</t>
  </si>
  <si>
    <t>A 219</t>
  </si>
  <si>
    <t>A 218</t>
  </si>
  <si>
    <t>A 217</t>
  </si>
  <si>
    <t>A 18.108</t>
  </si>
  <si>
    <t>201758</t>
  </si>
  <si>
    <t>1701256</t>
  </si>
  <si>
    <t>17135</t>
  </si>
  <si>
    <t>07-14671</t>
  </si>
  <si>
    <t>6722</t>
  </si>
  <si>
    <t>4092/C</t>
  </si>
  <si>
    <t>13/17</t>
  </si>
  <si>
    <t>AL35-2017</t>
  </si>
  <si>
    <t>0014</t>
  </si>
  <si>
    <t>G-13892</t>
  </si>
  <si>
    <t>TA5S60077393</t>
  </si>
  <si>
    <t>217419</t>
  </si>
  <si>
    <t>50832</t>
  </si>
  <si>
    <t>9/2017</t>
  </si>
  <si>
    <t>A 172</t>
  </si>
  <si>
    <t>AL33-2017</t>
  </si>
  <si>
    <t>2017F128</t>
  </si>
  <si>
    <t>171358</t>
  </si>
  <si>
    <t>201700036</t>
  </si>
  <si>
    <t>10-17</t>
  </si>
  <si>
    <t>411131</t>
  </si>
  <si>
    <t>CQ9616</t>
  </si>
  <si>
    <t>CQ9615</t>
  </si>
  <si>
    <t>410982</t>
  </si>
  <si>
    <t>AL26-2017</t>
  </si>
  <si>
    <t>AL27-2017</t>
  </si>
  <si>
    <t>AL28-2017</t>
  </si>
  <si>
    <t>AL29-2017</t>
  </si>
  <si>
    <t>376646</t>
  </si>
  <si>
    <t>171004777/01757</t>
  </si>
  <si>
    <t>4/2017</t>
  </si>
  <si>
    <t>1700586</t>
  </si>
  <si>
    <t>F2017/0069</t>
  </si>
  <si>
    <t>447/17/GIP</t>
  </si>
  <si>
    <t>418/17/GIP</t>
  </si>
  <si>
    <t>17419</t>
  </si>
  <si>
    <t>1711C0497193</t>
  </si>
  <si>
    <t>A17300</t>
  </si>
  <si>
    <t>26/2017</t>
  </si>
  <si>
    <t>376610</t>
  </si>
  <si>
    <t>TA5S50073657</t>
  </si>
  <si>
    <t>FLG AYE71007</t>
  </si>
  <si>
    <t>FLG AYE65649</t>
  </si>
  <si>
    <t>FLL AYE75173</t>
  </si>
  <si>
    <t>25/2017</t>
  </si>
  <si>
    <t>44/2017</t>
  </si>
  <si>
    <t>17.130</t>
  </si>
  <si>
    <t>7250134226</t>
  </si>
  <si>
    <t>149</t>
  </si>
  <si>
    <t>SA 4700</t>
  </si>
  <si>
    <t>11/17</t>
  </si>
  <si>
    <t>145/17 (Pptp. 16/17)</t>
  </si>
  <si>
    <t>G-13867</t>
  </si>
  <si>
    <t>A 24241</t>
  </si>
  <si>
    <t>17/20170794</t>
  </si>
  <si>
    <t>17/A-069</t>
  </si>
  <si>
    <t>7250134225</t>
  </si>
  <si>
    <t>13</t>
  </si>
  <si>
    <t>A 24109</t>
  </si>
  <si>
    <t>376892</t>
  </si>
  <si>
    <t>SI2017SI201714967</t>
  </si>
  <si>
    <t>17423</t>
  </si>
  <si>
    <t>A 155</t>
  </si>
  <si>
    <t>GY/1068/17</t>
  </si>
  <si>
    <t>F1700313</t>
  </si>
  <si>
    <t>00-0003801/2017</t>
  </si>
  <si>
    <t>G-13856</t>
  </si>
  <si>
    <t>128/C</t>
  </si>
  <si>
    <t>3/2017</t>
  </si>
  <si>
    <t>1187/2017</t>
  </si>
  <si>
    <t>17.220</t>
  </si>
  <si>
    <t>4/17-18C</t>
  </si>
  <si>
    <t>376504</t>
  </si>
  <si>
    <t>327/2017</t>
  </si>
  <si>
    <t>TK17002006</t>
  </si>
  <si>
    <t>1701068</t>
  </si>
  <si>
    <t>56</t>
  </si>
  <si>
    <t>G-13823</t>
  </si>
  <si>
    <t>17-832</t>
  </si>
  <si>
    <t>20170484</t>
  </si>
  <si>
    <t>A-26</t>
  </si>
  <si>
    <t>0470917</t>
  </si>
  <si>
    <t>262</t>
  </si>
  <si>
    <t>1710C0496238</t>
  </si>
  <si>
    <t>28-J7M0-035578</t>
  </si>
  <si>
    <t>FLG AYE03921</t>
  </si>
  <si>
    <t>FLL AYE08055</t>
  </si>
  <si>
    <t>FLG AYE22401</t>
  </si>
  <si>
    <t>2/2017</t>
  </si>
  <si>
    <t>17-018</t>
  </si>
  <si>
    <t>GTS OBRAS OCTUBRE 2017</t>
  </si>
  <si>
    <t>FCC1701174</t>
  </si>
  <si>
    <t>FCC1701223</t>
  </si>
  <si>
    <t>FCC1701249</t>
  </si>
  <si>
    <t>FCC1701250</t>
  </si>
  <si>
    <t>FCC1701251</t>
  </si>
  <si>
    <t>FCC1701252</t>
  </si>
  <si>
    <t>FCC1701253</t>
  </si>
  <si>
    <t>FCC1701254</t>
  </si>
  <si>
    <t>FCC1701255</t>
  </si>
  <si>
    <t>FCC1701256</t>
  </si>
  <si>
    <t>FCC1701257</t>
  </si>
  <si>
    <t>FCC1701258</t>
  </si>
  <si>
    <t>FCC1701259</t>
  </si>
  <si>
    <t>FCC1701260</t>
  </si>
  <si>
    <t>FCC1701261</t>
  </si>
  <si>
    <t>FCC1701262</t>
  </si>
  <si>
    <t>FCC1701263</t>
  </si>
  <si>
    <t>FCC1701264</t>
  </si>
  <si>
    <t>FCC1701265</t>
  </si>
  <si>
    <t>FCC1701266</t>
  </si>
  <si>
    <t>FCC1701267</t>
  </si>
  <si>
    <t>FCC1701268</t>
  </si>
  <si>
    <t>FCC1701269</t>
  </si>
  <si>
    <t>FCC1701270</t>
  </si>
  <si>
    <t>20/0FA-0011759</t>
  </si>
  <si>
    <t>09171228030007266</t>
  </si>
  <si>
    <t>B/1014</t>
  </si>
  <si>
    <t>20171030030524618</t>
  </si>
  <si>
    <t>20171030030564483</t>
  </si>
  <si>
    <t>20171030030504569</t>
  </si>
  <si>
    <t>CP0576</t>
  </si>
  <si>
    <t>411130</t>
  </si>
  <si>
    <t>1701486</t>
  </si>
  <si>
    <t>01PTXVI</t>
  </si>
  <si>
    <t>01PTXVJ</t>
  </si>
  <si>
    <t>01PTXVK</t>
  </si>
  <si>
    <t>01PTXVL</t>
  </si>
  <si>
    <t>A 159</t>
  </si>
  <si>
    <t>00002819</t>
  </si>
  <si>
    <t>01PU9L3</t>
  </si>
  <si>
    <t>00002789</t>
  </si>
  <si>
    <t>A-39</t>
  </si>
  <si>
    <t>01PBX4N</t>
  </si>
  <si>
    <t>01PLSA6</t>
  </si>
  <si>
    <t>G-13902</t>
  </si>
  <si>
    <t>G-13894</t>
  </si>
  <si>
    <t>174761</t>
  </si>
  <si>
    <t>18/2017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</si>
</sst>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D]dddd\,\ yyyy\.&quot;eko&quot;\ mmmm&quot;k &quot;d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0.000"/>
    <numFmt numFmtId="171" formatCode="#,##0.00_ ;\-#,##0.00\ "/>
    <numFmt numFmtId="172" formatCode="[$-C0A]dddd\,\ dd&quot; de &quot;mmmm&quot; de &quot;yyyy"/>
    <numFmt numFmtId="173" formatCode="yyyy/mm/dd"/>
    <numFmt numFmtId="174" formatCode="mmm\-yyyy"/>
    <numFmt numFmtId="175" formatCode="0.000000000"/>
    <numFmt numFmtId="176" formatCode="0.00000000"/>
    <numFmt numFmtId="177" formatCode="0.0000000"/>
  </numFmts>
  <fonts count="5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>
        <color indexed="63"/>
      </bottom>
    </border>
    <border>
      <left style="thin">
        <color indexed="55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hair">
        <color indexed="8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medium">
        <color indexed="55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55"/>
      </right>
      <top style="hair">
        <color indexed="8"/>
      </top>
      <bottom style="medium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6" borderId="4" applyNumberFormat="0" applyAlignment="0" applyProtection="0"/>
    <xf numFmtId="9" fontId="0" fillId="0" borderId="0" applyFill="0" applyBorder="0" applyAlignment="0" applyProtection="0"/>
    <xf numFmtId="0" fontId="43" fillId="0" borderId="5" applyNumberFormat="0" applyFill="0" applyAlignment="0" applyProtection="0"/>
    <xf numFmtId="0" fontId="44" fillId="27" borderId="0" applyNumberFormat="0" applyBorder="0" applyAlignment="0" applyProtection="0"/>
    <xf numFmtId="0" fontId="4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46" fillId="28" borderId="7" applyNumberFormat="0" applyAlignment="0" applyProtection="0"/>
    <xf numFmtId="0" fontId="47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8" applyNumberFormat="0" applyAlignment="0" applyProtection="0"/>
    <xf numFmtId="0" fontId="52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33" borderId="0" xfId="0" applyNumberFormat="1" applyFont="1" applyFill="1" applyAlignment="1">
      <alignment horizontal="center" wrapText="1"/>
    </xf>
    <xf numFmtId="3" fontId="4" fillId="34" borderId="0" xfId="0" applyNumberFormat="1" applyFont="1" applyFill="1" applyAlignment="1">
      <alignment horizontal="center" wrapText="1"/>
    </xf>
    <xf numFmtId="3" fontId="4" fillId="35" borderId="0" xfId="0" applyNumberFormat="1" applyFont="1" applyFill="1" applyAlignment="1">
      <alignment horizontal="center" wrapText="1"/>
    </xf>
    <xf numFmtId="3" fontId="4" fillId="36" borderId="0" xfId="0" applyNumberFormat="1" applyFont="1" applyFill="1" applyAlignment="1">
      <alignment horizontal="center" wrapText="1"/>
    </xf>
    <xf numFmtId="173" fontId="2" fillId="0" borderId="0" xfId="0" applyNumberFormat="1" applyFont="1" applyAlignment="1">
      <alignment/>
    </xf>
    <xf numFmtId="173" fontId="4" fillId="33" borderId="0" xfId="0" applyNumberFormat="1" applyFont="1" applyFill="1" applyAlignment="1">
      <alignment horizontal="center" wrapText="1"/>
    </xf>
    <xf numFmtId="173" fontId="4" fillId="0" borderId="0" xfId="0" applyNumberFormat="1" applyFont="1" applyAlignment="1">
      <alignment/>
    </xf>
    <xf numFmtId="173" fontId="4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4" fontId="4" fillId="38" borderId="12" xfId="0" applyNumberFormat="1" applyFont="1" applyFill="1" applyBorder="1" applyAlignment="1">
      <alignment/>
    </xf>
    <xf numFmtId="3" fontId="4" fillId="38" borderId="12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4" fillId="38" borderId="13" xfId="0" applyNumberFormat="1" applyFont="1" applyFill="1" applyBorder="1" applyAlignment="1">
      <alignment/>
    </xf>
    <xf numFmtId="4" fontId="4" fillId="38" borderId="13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3" fontId="2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right"/>
    </xf>
    <xf numFmtId="0" fontId="11" fillId="39" borderId="16" xfId="0" applyFont="1" applyFill="1" applyBorder="1" applyAlignment="1">
      <alignment/>
    </xf>
    <xf numFmtId="0" fontId="14" fillId="39" borderId="0" xfId="0" applyFont="1" applyFill="1" applyBorder="1" applyAlignment="1">
      <alignment horizontal="right"/>
    </xf>
    <xf numFmtId="0" fontId="14" fillId="37" borderId="0" xfId="0" applyFont="1" applyFill="1" applyBorder="1" applyAlignment="1">
      <alignment horizontal="center"/>
    </xf>
    <xf numFmtId="0" fontId="15" fillId="39" borderId="0" xfId="0" applyFont="1" applyFill="1" applyBorder="1" applyAlignment="1">
      <alignment/>
    </xf>
    <xf numFmtId="0" fontId="11" fillId="39" borderId="18" xfId="0" applyFont="1" applyFill="1" applyBorder="1" applyAlignment="1">
      <alignment/>
    </xf>
    <xf numFmtId="0" fontId="11" fillId="39" borderId="19" xfId="0" applyFont="1" applyFill="1" applyBorder="1" applyAlignment="1">
      <alignment/>
    </xf>
    <xf numFmtId="0" fontId="14" fillId="39" borderId="19" xfId="0" applyFont="1" applyFill="1" applyBorder="1" applyAlignment="1">
      <alignment horizontal="right"/>
    </xf>
    <xf numFmtId="0" fontId="14" fillId="37" borderId="19" xfId="0" applyFont="1" applyFill="1" applyBorder="1" applyAlignment="1">
      <alignment horizontal="center"/>
    </xf>
    <xf numFmtId="0" fontId="15" fillId="39" borderId="19" xfId="0" applyFont="1" applyFill="1" applyBorder="1" applyAlignment="1">
      <alignment/>
    </xf>
    <xf numFmtId="0" fontId="11" fillId="39" borderId="2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4" fillId="37" borderId="21" xfId="0" applyFont="1" applyFill="1" applyBorder="1" applyAlignment="1">
      <alignment horizontal="center" vertical="center" wrapText="1"/>
    </xf>
    <xf numFmtId="3" fontId="4" fillId="38" borderId="22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0" fontId="4" fillId="37" borderId="23" xfId="0" applyFont="1" applyFill="1" applyBorder="1" applyAlignment="1">
      <alignment horizontal="center" vertical="center" wrapText="1"/>
    </xf>
    <xf numFmtId="4" fontId="4" fillId="38" borderId="24" xfId="0" applyNumberFormat="1" applyFont="1" applyFill="1" applyBorder="1" applyAlignment="1">
      <alignment/>
    </xf>
    <xf numFmtId="4" fontId="4" fillId="38" borderId="25" xfId="0" applyNumberFormat="1" applyFont="1" applyFill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4" fillId="37" borderId="23" xfId="0" applyFont="1" applyFill="1" applyBorder="1" applyAlignment="1">
      <alignment horizontal="center" wrapText="1"/>
    </xf>
    <xf numFmtId="0" fontId="4" fillId="37" borderId="11" xfId="0" applyFont="1" applyFill="1" applyBorder="1" applyAlignment="1">
      <alignment horizontal="center" wrapText="1"/>
    </xf>
    <xf numFmtId="3" fontId="2" fillId="0" borderId="24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4" fontId="4" fillId="38" borderId="29" xfId="0" applyNumberFormat="1" applyFont="1" applyFill="1" applyBorder="1" applyAlignment="1">
      <alignment/>
    </xf>
    <xf numFmtId="4" fontId="4" fillId="38" borderId="30" xfId="0" applyNumberFormat="1" applyFont="1" applyFill="1" applyBorder="1" applyAlignment="1">
      <alignment/>
    </xf>
    <xf numFmtId="3" fontId="4" fillId="38" borderId="31" xfId="0" applyNumberFormat="1" applyFont="1" applyFill="1" applyBorder="1" applyAlignment="1">
      <alignment/>
    </xf>
    <xf numFmtId="4" fontId="4" fillId="38" borderId="32" xfId="0" applyNumberFormat="1" applyFont="1" applyFill="1" applyBorder="1" applyAlignment="1">
      <alignment/>
    </xf>
    <xf numFmtId="3" fontId="4" fillId="38" borderId="32" xfId="0" applyNumberFormat="1" applyFont="1" applyFill="1" applyBorder="1" applyAlignment="1">
      <alignment/>
    </xf>
    <xf numFmtId="3" fontId="4" fillId="38" borderId="33" xfId="0" applyNumberFormat="1" applyFont="1" applyFill="1" applyBorder="1" applyAlignment="1">
      <alignment/>
    </xf>
    <xf numFmtId="4" fontId="4" fillId="38" borderId="34" xfId="0" applyNumberFormat="1" applyFont="1" applyFill="1" applyBorder="1" applyAlignment="1">
      <alignment/>
    </xf>
    <xf numFmtId="4" fontId="4" fillId="38" borderId="35" xfId="0" applyNumberFormat="1" applyFont="1" applyFill="1" applyBorder="1" applyAlignment="1">
      <alignment/>
    </xf>
    <xf numFmtId="0" fontId="4" fillId="37" borderId="36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4" fontId="2" fillId="0" borderId="38" xfId="0" applyNumberFormat="1" applyFont="1" applyBorder="1" applyAlignment="1">
      <alignment/>
    </xf>
    <xf numFmtId="4" fontId="4" fillId="38" borderId="31" xfId="0" applyNumberFormat="1" applyFont="1" applyFill="1" applyBorder="1" applyAlignment="1">
      <alignment/>
    </xf>
    <xf numFmtId="4" fontId="4" fillId="38" borderId="39" xfId="0" applyNumberFormat="1" applyFont="1" applyFill="1" applyBorder="1" applyAlignment="1">
      <alignment/>
    </xf>
    <xf numFmtId="2" fontId="2" fillId="0" borderId="38" xfId="0" applyNumberFormat="1" applyFont="1" applyBorder="1" applyAlignment="1">
      <alignment/>
    </xf>
    <xf numFmtId="2" fontId="4" fillId="38" borderId="32" xfId="0" applyNumberFormat="1" applyFont="1" applyFill="1" applyBorder="1" applyAlignment="1">
      <alignment/>
    </xf>
    <xf numFmtId="2" fontId="4" fillId="38" borderId="39" xfId="0" applyNumberFormat="1" applyFont="1" applyFill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4" fontId="4" fillId="38" borderId="38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2" fillId="0" borderId="4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4" fontId="2" fillId="40" borderId="41" xfId="0" applyNumberFormat="1" applyFont="1" applyFill="1" applyBorder="1" applyAlignment="1">
      <alignment/>
    </xf>
    <xf numFmtId="4" fontId="2" fillId="40" borderId="46" xfId="0" applyNumberFormat="1" applyFont="1" applyFill="1" applyBorder="1" applyAlignment="1">
      <alignment/>
    </xf>
    <xf numFmtId="3" fontId="2" fillId="40" borderId="20" xfId="0" applyNumberFormat="1" applyFont="1" applyFill="1" applyBorder="1" applyAlignment="1">
      <alignment/>
    </xf>
    <xf numFmtId="4" fontId="2" fillId="40" borderId="14" xfId="0" applyNumberFormat="1" applyFont="1" applyFill="1" applyBorder="1" applyAlignment="1">
      <alignment/>
    </xf>
    <xf numFmtId="3" fontId="2" fillId="40" borderId="14" xfId="0" applyNumberFormat="1" applyFont="1" applyFill="1" applyBorder="1" applyAlignment="1">
      <alignment/>
    </xf>
    <xf numFmtId="4" fontId="2" fillId="40" borderId="38" xfId="0" applyNumberFormat="1" applyFont="1" applyFill="1" applyBorder="1" applyAlignment="1">
      <alignment/>
    </xf>
    <xf numFmtId="4" fontId="2" fillId="0" borderId="47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14" fontId="2" fillId="41" borderId="0" xfId="0" applyNumberFormat="1" applyFont="1" applyFill="1" applyAlignment="1">
      <alignment/>
    </xf>
    <xf numFmtId="4" fontId="4" fillId="42" borderId="0" xfId="0" applyNumberFormat="1" applyFont="1" applyFill="1" applyAlignment="1">
      <alignment/>
    </xf>
    <xf numFmtId="173" fontId="4" fillId="42" borderId="0" xfId="0" applyNumberFormat="1" applyFont="1" applyFill="1" applyAlignment="1">
      <alignment horizontal="center" wrapText="1"/>
    </xf>
    <xf numFmtId="0" fontId="4" fillId="42" borderId="0" xfId="0" applyFont="1" applyFill="1" applyAlignment="1">
      <alignment/>
    </xf>
    <xf numFmtId="0" fontId="9" fillId="41" borderId="0" xfId="0" applyFont="1" applyFill="1" applyAlignment="1">
      <alignment/>
    </xf>
    <xf numFmtId="0" fontId="2" fillId="41" borderId="0" xfId="0" applyFont="1" applyFill="1" applyAlignment="1">
      <alignment/>
    </xf>
    <xf numFmtId="173" fontId="2" fillId="41" borderId="0" xfId="0" applyNumberFormat="1" applyFont="1" applyFill="1" applyAlignment="1">
      <alignment/>
    </xf>
    <xf numFmtId="3" fontId="2" fillId="41" borderId="0" xfId="0" applyNumberFormat="1" applyFont="1" applyFill="1" applyAlignment="1">
      <alignment/>
    </xf>
    <xf numFmtId="4" fontId="2" fillId="41" borderId="0" xfId="0" applyNumberFormat="1" applyFont="1" applyFill="1" applyAlignment="1">
      <alignment/>
    </xf>
    <xf numFmtId="0" fontId="4" fillId="43" borderId="0" xfId="0" applyFont="1" applyFill="1" applyAlignment="1">
      <alignment/>
    </xf>
    <xf numFmtId="4" fontId="2" fillId="43" borderId="0" xfId="0" applyNumberFormat="1" applyFont="1" applyFill="1" applyAlignment="1">
      <alignment/>
    </xf>
    <xf numFmtId="4" fontId="2" fillId="42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4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2" fillId="42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7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49" fontId="17" fillId="0" borderId="0" xfId="60" applyNumberFormat="1" applyFont="1" applyFill="1">
      <alignment/>
      <protection/>
    </xf>
    <xf numFmtId="14" fontId="18" fillId="0" borderId="0" xfId="59" applyNumberFormat="1" applyFont="1" applyFill="1" applyAlignment="1">
      <alignment horizontal="center" wrapText="1"/>
      <protection/>
    </xf>
    <xf numFmtId="0" fontId="17" fillId="0" borderId="0" xfId="60" applyFont="1">
      <alignment/>
      <protection/>
    </xf>
    <xf numFmtId="0" fontId="17" fillId="0" borderId="0" xfId="60" applyFont="1" applyFill="1">
      <alignment/>
      <protection/>
    </xf>
    <xf numFmtId="1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173" fontId="17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49" fontId="36" fillId="0" borderId="0" xfId="58" applyNumberFormat="1">
      <alignment/>
      <protection/>
    </xf>
    <xf numFmtId="14" fontId="36" fillId="0" borderId="0" xfId="58" applyNumberFormat="1">
      <alignment/>
      <protection/>
    </xf>
    <xf numFmtId="49" fontId="36" fillId="0" borderId="0" xfId="58" applyNumberFormat="1">
      <alignment/>
      <protection/>
    </xf>
    <xf numFmtId="0" fontId="36" fillId="0" borderId="0" xfId="58">
      <alignment/>
      <protection/>
    </xf>
    <xf numFmtId="14" fontId="36" fillId="0" borderId="0" xfId="58" applyNumberFormat="1">
      <alignment/>
      <protection/>
    </xf>
    <xf numFmtId="49" fontId="36" fillId="0" borderId="0" xfId="58" applyNumberFormat="1" applyFill="1">
      <alignment/>
      <protection/>
    </xf>
    <xf numFmtId="14" fontId="36" fillId="0" borderId="0" xfId="58" applyNumberFormat="1" applyFill="1">
      <alignment/>
      <protection/>
    </xf>
    <xf numFmtId="0" fontId="36" fillId="0" borderId="0" xfId="58" applyFill="1">
      <alignment/>
      <protection/>
    </xf>
    <xf numFmtId="173" fontId="0" fillId="0" borderId="0" xfId="0" applyNumberFormat="1" applyFont="1" applyAlignment="1">
      <alignment/>
    </xf>
    <xf numFmtId="173" fontId="0" fillId="0" borderId="0" xfId="0" applyNumberFormat="1" applyFont="1" applyFill="1" applyAlignment="1">
      <alignment/>
    </xf>
    <xf numFmtId="2" fontId="9" fillId="0" borderId="19" xfId="0" applyNumberFormat="1" applyFont="1" applyBorder="1" applyAlignment="1">
      <alignment horizontal="center"/>
    </xf>
    <xf numFmtId="0" fontId="12" fillId="44" borderId="48" xfId="0" applyFont="1" applyFill="1" applyBorder="1" applyAlignment="1">
      <alignment horizontal="center"/>
    </xf>
    <xf numFmtId="0" fontId="12" fillId="44" borderId="49" xfId="0" applyFont="1" applyFill="1" applyBorder="1" applyAlignment="1">
      <alignment horizontal="center"/>
    </xf>
    <xf numFmtId="0" fontId="12" fillId="44" borderId="22" xfId="0" applyFont="1" applyFill="1" applyBorder="1" applyAlignment="1">
      <alignment horizontal="center"/>
    </xf>
    <xf numFmtId="0" fontId="13" fillId="37" borderId="0" xfId="0" applyFont="1" applyFill="1" applyBorder="1" applyAlignment="1">
      <alignment/>
    </xf>
    <xf numFmtId="0" fontId="4" fillId="37" borderId="50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51" xfId="0" applyFont="1" applyFill="1" applyBorder="1" applyAlignment="1">
      <alignment horizontal="center" vertical="center" wrapText="1"/>
    </xf>
    <xf numFmtId="0" fontId="4" fillId="37" borderId="52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53" xfId="0" applyFont="1" applyFill="1" applyBorder="1" applyAlignment="1">
      <alignment horizontal="center" vertical="center" wrapText="1"/>
    </xf>
    <xf numFmtId="0" fontId="4" fillId="37" borderId="54" xfId="0" applyFont="1" applyFill="1" applyBorder="1" applyAlignment="1">
      <alignment horizontal="center"/>
    </xf>
    <xf numFmtId="0" fontId="4" fillId="37" borderId="55" xfId="0" applyFont="1" applyFill="1" applyBorder="1" applyAlignment="1">
      <alignment horizontal="center"/>
    </xf>
    <xf numFmtId="0" fontId="4" fillId="37" borderId="36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4" fillId="37" borderId="37" xfId="0" applyFont="1" applyFill="1" applyBorder="1" applyAlignment="1">
      <alignment horizontal="center"/>
    </xf>
    <xf numFmtId="0" fontId="4" fillId="37" borderId="41" xfId="0" applyFont="1" applyFill="1" applyBorder="1" applyAlignment="1">
      <alignment horizontal="center"/>
    </xf>
    <xf numFmtId="0" fontId="4" fillId="37" borderId="46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28" xfId="0" applyFont="1" applyFill="1" applyBorder="1" applyAlignment="1">
      <alignment horizontal="center"/>
    </xf>
    <xf numFmtId="0" fontId="4" fillId="38" borderId="42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" fillId="38" borderId="56" xfId="0" applyFont="1" applyFill="1" applyBorder="1" applyAlignment="1">
      <alignment horizontal="right"/>
    </xf>
    <xf numFmtId="0" fontId="4" fillId="38" borderId="57" xfId="0" applyFont="1" applyFill="1" applyBorder="1" applyAlignment="1">
      <alignment horizontal="right"/>
    </xf>
    <xf numFmtId="0" fontId="4" fillId="37" borderId="58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wrapText="1"/>
    </xf>
    <xf numFmtId="0" fontId="4" fillId="37" borderId="27" xfId="0" applyFont="1" applyFill="1" applyBorder="1" applyAlignment="1">
      <alignment horizontal="center" wrapText="1"/>
    </xf>
    <xf numFmtId="0" fontId="4" fillId="37" borderId="3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59" xfId="0" applyFont="1" applyFill="1" applyBorder="1" applyAlignment="1">
      <alignment/>
    </xf>
    <xf numFmtId="0" fontId="4" fillId="45" borderId="60" xfId="0" applyFont="1" applyFill="1" applyBorder="1" applyAlignment="1">
      <alignment horizontal="right"/>
    </xf>
    <xf numFmtId="0" fontId="4" fillId="45" borderId="61" xfId="0" applyFont="1" applyFill="1" applyBorder="1" applyAlignment="1">
      <alignment horizontal="right"/>
    </xf>
    <xf numFmtId="0" fontId="4" fillId="45" borderId="62" xfId="0" applyFont="1" applyFill="1" applyBorder="1" applyAlignment="1">
      <alignment horizontal="right"/>
    </xf>
    <xf numFmtId="0" fontId="4" fillId="38" borderId="63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48" xfId="0" applyFont="1" applyFill="1" applyBorder="1" applyAlignment="1">
      <alignment/>
    </xf>
    <xf numFmtId="0" fontId="4" fillId="38" borderId="64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45" borderId="65" xfId="0" applyFont="1" applyFill="1" applyBorder="1" applyAlignment="1">
      <alignment horizontal="right"/>
    </xf>
    <xf numFmtId="0" fontId="4" fillId="45" borderId="34" xfId="0" applyFont="1" applyFill="1" applyBorder="1" applyAlignment="1">
      <alignment horizontal="right"/>
    </xf>
    <xf numFmtId="0" fontId="4" fillId="45" borderId="66" xfId="0" applyFont="1" applyFill="1" applyBorder="1" applyAlignment="1">
      <alignment horizontal="right"/>
    </xf>
    <xf numFmtId="0" fontId="2" fillId="0" borderId="49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0" fontId="4" fillId="45" borderId="68" xfId="0" applyFont="1" applyFill="1" applyBorder="1" applyAlignment="1">
      <alignment horizontal="right"/>
    </xf>
    <xf numFmtId="0" fontId="4" fillId="45" borderId="32" xfId="0" applyFont="1" applyFill="1" applyBorder="1" applyAlignment="1">
      <alignment horizontal="right"/>
    </xf>
    <xf numFmtId="0" fontId="4" fillId="45" borderId="30" xfId="0" applyFont="1" applyFill="1" applyBorder="1" applyAlignment="1">
      <alignment horizontal="right"/>
    </xf>
    <xf numFmtId="0" fontId="2" fillId="40" borderId="69" xfId="0" applyFont="1" applyFill="1" applyBorder="1" applyAlignment="1">
      <alignment horizontal="left" vertical="top" wrapText="1"/>
    </xf>
    <xf numFmtId="0" fontId="2" fillId="40" borderId="70" xfId="0" applyFont="1" applyFill="1" applyBorder="1" applyAlignment="1">
      <alignment horizontal="left" vertical="top" wrapText="1"/>
    </xf>
    <xf numFmtId="0" fontId="4" fillId="45" borderId="71" xfId="0" applyFont="1" applyFill="1" applyBorder="1" applyAlignment="1">
      <alignment horizontal="right"/>
    </xf>
    <xf numFmtId="0" fontId="4" fillId="45" borderId="72" xfId="0" applyFont="1" applyFill="1" applyBorder="1" applyAlignment="1">
      <alignment horizontal="right"/>
    </xf>
    <xf numFmtId="0" fontId="4" fillId="45" borderId="73" xfId="0" applyFont="1" applyFill="1" applyBorder="1" applyAlignment="1">
      <alignment horizontal="right"/>
    </xf>
    <xf numFmtId="0" fontId="4" fillId="37" borderId="50" xfId="0" applyFont="1" applyFill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3" xfId="0" applyFont="1" applyBorder="1" applyAlignment="1">
      <alignment/>
    </xf>
    <xf numFmtId="0" fontId="4" fillId="37" borderId="74" xfId="0" applyFont="1" applyFill="1" applyBorder="1" applyAlignment="1">
      <alignment horizontal="center" wrapText="1"/>
    </xf>
    <xf numFmtId="0" fontId="2" fillId="0" borderId="75" xfId="0" applyFont="1" applyBorder="1" applyAlignment="1">
      <alignment/>
    </xf>
    <xf numFmtId="0" fontId="2" fillId="0" borderId="6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4" fillId="37" borderId="77" xfId="0" applyFont="1" applyFill="1" applyBorder="1" applyAlignment="1">
      <alignment horizontal="center" wrapText="1"/>
    </xf>
    <xf numFmtId="0" fontId="4" fillId="37" borderId="58" xfId="0" applyFont="1" applyFill="1" applyBorder="1" applyAlignment="1">
      <alignment horizontal="center" wrapText="1"/>
    </xf>
  </cellXfs>
  <cellStyles count="52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 2" xfId="58"/>
    <cellStyle name="Normala_PAGADO" xfId="59"/>
    <cellStyle name="Normala_xehet1" xfId="60"/>
    <cellStyle name="Oharra" xfId="61"/>
    <cellStyle name="Ohar-testua" xfId="62"/>
    <cellStyle name="Ondo" xfId="63"/>
    <cellStyle name="Sarrera" xfId="64"/>
    <cellStyle name="Titulua" xfId="65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1"/>
  <dimension ref="A1:I93"/>
  <sheetViews>
    <sheetView tabSelected="1" zoomScalePageLayoutView="0" workbookViewId="0" topLeftCell="A31">
      <selection activeCell="D83" sqref="D83"/>
    </sheetView>
  </sheetViews>
  <sheetFormatPr defaultColWidth="9.140625" defaultRowHeight="12.75" customHeight="1"/>
  <cols>
    <col min="1" max="1" width="3.140625" style="2" customWidth="1"/>
    <col min="2" max="2" width="4.421875" style="2" bestFit="1" customWidth="1"/>
    <col min="3" max="3" width="34.00390625" style="2" bestFit="1" customWidth="1"/>
    <col min="4" max="9" width="13.7109375" style="2" customWidth="1"/>
    <col min="10" max="16384" width="9.140625" style="2" customWidth="1"/>
  </cols>
  <sheetData>
    <row r="1" spans="1:2" ht="12.75" customHeight="1">
      <c r="A1" s="157">
        <f>SUMSQ(D27:I27,D39:F40,D59:I59,D72:F72,D82:F83,E91:H91)</f>
        <v>8.470329472543003E-22</v>
      </c>
      <c r="B1" s="157"/>
    </row>
    <row r="2" spans="1:9" s="42" customFormat="1" ht="15.75" customHeight="1">
      <c r="A2" s="158" t="s">
        <v>21</v>
      </c>
      <c r="B2" s="159"/>
      <c r="C2" s="159"/>
      <c r="D2" s="159"/>
      <c r="E2" s="159"/>
      <c r="F2" s="159"/>
      <c r="G2" s="159"/>
      <c r="H2" s="159"/>
      <c r="I2" s="160"/>
    </row>
    <row r="3" spans="1:9" s="42" customFormat="1" ht="15.75" customHeight="1">
      <c r="A3" s="43"/>
      <c r="B3" s="44"/>
      <c r="C3" s="45" t="s">
        <v>4</v>
      </c>
      <c r="D3" s="161" t="s">
        <v>107</v>
      </c>
      <c r="E3" s="161"/>
      <c r="F3" s="161"/>
      <c r="G3" s="161"/>
      <c r="H3" s="44"/>
      <c r="I3" s="46"/>
    </row>
    <row r="4" spans="1:9" s="42" customFormat="1" ht="15.75" customHeight="1">
      <c r="A4" s="43"/>
      <c r="B4" s="44"/>
      <c r="C4" s="47" t="s">
        <v>5</v>
      </c>
      <c r="D4" s="48">
        <v>2017</v>
      </c>
      <c r="E4" s="49"/>
      <c r="F4" s="44"/>
      <c r="G4" s="44"/>
      <c r="H4" s="44"/>
      <c r="I4" s="46"/>
    </row>
    <row r="5" spans="1:9" s="42" customFormat="1" ht="15.75" customHeight="1">
      <c r="A5" s="50"/>
      <c r="B5" s="51"/>
      <c r="C5" s="52" t="s">
        <v>6</v>
      </c>
      <c r="D5" s="53" t="s">
        <v>108</v>
      </c>
      <c r="E5" s="54"/>
      <c r="F5" s="51"/>
      <c r="G5" s="51"/>
      <c r="H5" s="51"/>
      <c r="I5" s="55"/>
    </row>
    <row r="6" spans="1:9" ht="12.75" customHeight="1">
      <c r="A6" s="19"/>
      <c r="B6" s="19"/>
      <c r="C6" s="20"/>
      <c r="D6" s="21"/>
      <c r="E6" s="21"/>
      <c r="F6" s="19"/>
      <c r="G6" s="19"/>
      <c r="H6" s="19"/>
      <c r="I6" s="19"/>
    </row>
    <row r="7" spans="1:9" ht="12.75" customHeight="1">
      <c r="A7" s="19"/>
      <c r="B7" s="19"/>
      <c r="C7" s="20"/>
      <c r="D7" s="21"/>
      <c r="E7" s="21"/>
      <c r="F7" s="19"/>
      <c r="G7" s="19"/>
      <c r="H7" s="19"/>
      <c r="I7" s="19"/>
    </row>
    <row r="9" s="42" customFormat="1" ht="15.75">
      <c r="A9" s="41" t="s">
        <v>28</v>
      </c>
    </row>
    <row r="10" ht="12.75" customHeight="1">
      <c r="A10" s="4"/>
    </row>
    <row r="11" ht="12.75" customHeight="1">
      <c r="A11" s="4"/>
    </row>
    <row r="12" s="18" customFormat="1" ht="13.5" thickBot="1">
      <c r="A12" s="1" t="s">
        <v>29</v>
      </c>
    </row>
    <row r="13" spans="1:9" ht="12.75" customHeight="1">
      <c r="A13" s="162" t="s">
        <v>22</v>
      </c>
      <c r="B13" s="163"/>
      <c r="C13" s="164"/>
      <c r="D13" s="168" t="s">
        <v>33</v>
      </c>
      <c r="E13" s="169"/>
      <c r="F13" s="170" t="s">
        <v>14</v>
      </c>
      <c r="G13" s="171"/>
      <c r="H13" s="171"/>
      <c r="I13" s="172"/>
    </row>
    <row r="14" spans="1:9" ht="12.75" customHeight="1">
      <c r="A14" s="165"/>
      <c r="B14" s="166"/>
      <c r="C14" s="167"/>
      <c r="D14" s="173" t="s">
        <v>46</v>
      </c>
      <c r="E14" s="174"/>
      <c r="F14" s="175" t="s">
        <v>35</v>
      </c>
      <c r="G14" s="176"/>
      <c r="H14" s="176" t="s">
        <v>36</v>
      </c>
      <c r="I14" s="177"/>
    </row>
    <row r="15" spans="1:9" ht="22.5">
      <c r="A15" s="165"/>
      <c r="B15" s="166"/>
      <c r="C15" s="167"/>
      <c r="D15" s="63" t="s">
        <v>11</v>
      </c>
      <c r="E15" s="23" t="s">
        <v>34</v>
      </c>
      <c r="F15" s="60" t="s">
        <v>12</v>
      </c>
      <c r="G15" s="22" t="s">
        <v>13</v>
      </c>
      <c r="H15" s="22" t="s">
        <v>12</v>
      </c>
      <c r="I15" s="74" t="s">
        <v>13</v>
      </c>
    </row>
    <row r="16" spans="1:9" ht="12.75" customHeight="1">
      <c r="A16" s="178" t="s">
        <v>18</v>
      </c>
      <c r="B16" s="179"/>
      <c r="C16" s="179"/>
      <c r="D16" s="64">
        <f>IF(G16+I16=0,0,(D17*(G17+I17)+D18*(G18+I18)+D19*(G19+I19)+D20*(G20+I20)+D21*(G21+I21))/(G16+I16))</f>
        <v>0</v>
      </c>
      <c r="E16" s="65">
        <f>IF(I16=0,0,(E17*I17+E18*I18+E19*I19+E20*I20+E21*I21)/I16)</f>
        <v>0</v>
      </c>
      <c r="F16" s="61">
        <f>SUM(F17:F21)</f>
        <v>183</v>
      </c>
      <c r="G16" s="24">
        <f>SUM(G17:G21)</f>
        <v>183381.23000000004</v>
      </c>
      <c r="H16" s="25">
        <f>SUM(H17:H21)</f>
        <v>0</v>
      </c>
      <c r="I16" s="95">
        <f>SUM(I17:I21)</f>
        <v>0</v>
      </c>
    </row>
    <row r="17" spans="1:9" ht="12.75" customHeight="1">
      <c r="A17" s="98"/>
      <c r="B17" s="99" t="s">
        <v>0</v>
      </c>
      <c r="C17" s="19" t="s">
        <v>7</v>
      </c>
      <c r="D17" s="66">
        <f>IF(F17+H17=0,0,SUMIF(xehet1!S:S,20,xehet1!T:T)/SUMIF(xehet1!S:S,20,xehet1!D:D))</f>
        <v>0</v>
      </c>
      <c r="E17" s="38">
        <f>IF(H17=0,0,SUMIF(xehet1!V:V,220,xehet1!T:T)/SUMIF(xehet1!V:V,220,xehet1!D:D))</f>
        <v>0</v>
      </c>
      <c r="F17" s="39">
        <f>COUNTIF(xehet1!V:V,120)</f>
        <v>10</v>
      </c>
      <c r="G17" s="26">
        <f>SUMIF(xehet1!V:V,120,xehet1!D:D)</f>
        <v>1891.45</v>
      </c>
      <c r="H17" s="27">
        <f>COUNTIF(xehet1!V:V,220)</f>
        <v>0</v>
      </c>
      <c r="I17" s="85">
        <f>SUMIF(xehet1!V:V,220,xehet1!D:D)</f>
        <v>0</v>
      </c>
    </row>
    <row r="18" spans="1:9" ht="12.75" customHeight="1">
      <c r="A18" s="98"/>
      <c r="B18" s="99" t="s">
        <v>1</v>
      </c>
      <c r="C18" s="19" t="s">
        <v>19</v>
      </c>
      <c r="D18" s="66">
        <f>IF(F18+H18=0,0,SUMIF(xehet1!S:S,21,xehet1!T:T)/SUMIF(xehet1!S:S,21,xehet1!D:D))</f>
        <v>0</v>
      </c>
      <c r="E18" s="38">
        <f>IF(H18=0,0,SUMIF(xehet1!V:V,221,xehet1!T:T)/SUMIF(xehet1!V:V,221,xehet1!D:D))</f>
        <v>0</v>
      </c>
      <c r="F18" s="39">
        <f>COUNTIF(xehet1!V:V,121)</f>
        <v>27</v>
      </c>
      <c r="G18" s="26">
        <f>SUMIF(xehet1!V:V,121,xehet1!D:D)</f>
        <v>6369.629999999999</v>
      </c>
      <c r="H18" s="27">
        <f>COUNTIF(xehet1!V:V,221)</f>
        <v>0</v>
      </c>
      <c r="I18" s="85">
        <f>SUMIF(xehet1!V:V,221,xehet1!D:D)</f>
        <v>0</v>
      </c>
    </row>
    <row r="19" spans="1:9" ht="12.75" customHeight="1">
      <c r="A19" s="98"/>
      <c r="B19" s="99" t="s">
        <v>2</v>
      </c>
      <c r="C19" s="19" t="s">
        <v>8</v>
      </c>
      <c r="D19" s="66">
        <f>IF(F19+H19=0,0,SUMIF(xehet1!S:S,22,xehet1!T:T)/SUMIF(xehet1!S:S,22,xehet1!D:D))</f>
        <v>0</v>
      </c>
      <c r="E19" s="38">
        <f>IF(H19=0,0,SUMIF(xehet1!V:V,222,xehet1!T:T)/SUMIF(xehet1!V:V,222,xehet1!D:D))</f>
        <v>0</v>
      </c>
      <c r="F19" s="39">
        <f>COUNTIF(xehet1!V:V,122)</f>
        <v>11</v>
      </c>
      <c r="G19" s="26">
        <f>SUMIF(xehet1!V:V,122,xehet1!D:D)</f>
        <v>1025.5100000000002</v>
      </c>
      <c r="H19" s="27">
        <f>COUNTIF(xehet1!V:V,222)</f>
        <v>0</v>
      </c>
      <c r="I19" s="85">
        <f>SUMIF(xehet1!V:V,222,xehet1!D:D)</f>
        <v>0</v>
      </c>
    </row>
    <row r="20" spans="1:9" ht="12.75" customHeight="1">
      <c r="A20" s="98"/>
      <c r="B20" s="99" t="s">
        <v>3</v>
      </c>
      <c r="C20" s="19" t="s">
        <v>9</v>
      </c>
      <c r="D20" s="66">
        <f>IF(F20+H20=0,0,SUMIF(xehet1!S:S,23,xehet1!T:T)/SUMIF(xehet1!S:S,23,xehet1!D:D))</f>
        <v>0</v>
      </c>
      <c r="E20" s="38">
        <f>IF(H20=0,0,SUMIF(xehet1!V:V,223,xehet1!T:T)/SUMIF(xehet1!V:V,223,xehet1!D:D))</f>
        <v>0</v>
      </c>
      <c r="F20" s="39">
        <f>COUNTIF(xehet1!V:V,123)</f>
        <v>0</v>
      </c>
      <c r="G20" s="26">
        <f>SUMIF(xehet1!V:V,123,xehet1!D:D)</f>
        <v>0</v>
      </c>
      <c r="H20" s="27">
        <f>COUNTIF(xehet1!V:V,223)</f>
        <v>0</v>
      </c>
      <c r="I20" s="85">
        <f>SUMIF(xehet1!V:V,223,xehet1!D:D)</f>
        <v>0</v>
      </c>
    </row>
    <row r="21" spans="1:9" ht="12.75" customHeight="1">
      <c r="A21" s="98"/>
      <c r="B21" s="99" t="s">
        <v>24</v>
      </c>
      <c r="C21" s="19" t="s">
        <v>23</v>
      </c>
      <c r="D21" s="66">
        <f>IF(F21+H21=0,0,SUMIF(xehet1!S:S,29,xehet1!T:T)/SUMIF(xehet1!S:S,29,xehet1!D:D))</f>
        <v>0</v>
      </c>
      <c r="E21" s="38">
        <f>IF(H21=0,0,SUMIF(xehet1!V:V,229,xehet1!T:T)/SUMIF(xehet1!V:V,229,xehet1!D:D))</f>
        <v>0</v>
      </c>
      <c r="F21" s="39">
        <f>COUNTIF(xehet1!V:V,129)</f>
        <v>135</v>
      </c>
      <c r="G21" s="26">
        <f>SUMIF(xehet1!V:V,129,xehet1!D:D)</f>
        <v>174094.64000000004</v>
      </c>
      <c r="H21" s="27">
        <f>COUNTIF(xehet1!V:V,229)</f>
        <v>0</v>
      </c>
      <c r="I21" s="85">
        <f>SUMIF(xehet1!V:V,229,xehet1!D:D)</f>
        <v>0</v>
      </c>
    </row>
    <row r="22" spans="1:9" ht="12.75" customHeight="1">
      <c r="A22" s="178" t="s">
        <v>10</v>
      </c>
      <c r="B22" s="179"/>
      <c r="C22" s="179"/>
      <c r="D22" s="64">
        <f aca="true" t="shared" si="0" ref="D22:I22">D23</f>
        <v>0</v>
      </c>
      <c r="E22" s="65">
        <f t="shared" si="0"/>
        <v>0</v>
      </c>
      <c r="F22" s="62">
        <f t="shared" si="0"/>
        <v>14</v>
      </c>
      <c r="G22" s="29">
        <f t="shared" si="0"/>
        <v>51331.61</v>
      </c>
      <c r="H22" s="28">
        <f t="shared" si="0"/>
        <v>0</v>
      </c>
      <c r="I22" s="95">
        <f t="shared" si="0"/>
        <v>0</v>
      </c>
    </row>
    <row r="23" spans="1:9" ht="12.75" customHeight="1">
      <c r="A23" s="98"/>
      <c r="B23" s="100" t="s">
        <v>26</v>
      </c>
      <c r="C23" s="101" t="s">
        <v>27</v>
      </c>
      <c r="D23" s="66">
        <f>IF(F23+H23=0,0,SUMIF(xehet1!S:S,69,xehet1!T:T)/SUMIF(xehet1!S:S,69,xehet1!D:D))</f>
        <v>0</v>
      </c>
      <c r="E23" s="38">
        <f>IF(H23=0,0,SUMIF(xehet1!V:V,269,xehet1!T:T)/SUMIF(xehet1!V:V,269,xehet1!D:D))</f>
        <v>0</v>
      </c>
      <c r="F23" s="39">
        <f>COUNTIF(xehet1!V:V,169)</f>
        <v>14</v>
      </c>
      <c r="G23" s="26">
        <f>SUMIF(xehet1!V:V,169,xehet1!D:D)</f>
        <v>51331.61</v>
      </c>
      <c r="H23" s="27">
        <f>COUNTIF(xehet1!V:V,269)</f>
        <v>0</v>
      </c>
      <c r="I23" s="85">
        <f>SUMIF(xehet1!V:V,269,xehet1!D:D)</f>
        <v>0</v>
      </c>
    </row>
    <row r="24" spans="1:9" ht="12.75" customHeight="1">
      <c r="A24" s="178" t="s">
        <v>66</v>
      </c>
      <c r="B24" s="179"/>
      <c r="C24" s="179"/>
      <c r="D24" s="64">
        <f aca="true" t="shared" si="1" ref="D24:I24">D25</f>
        <v>0</v>
      </c>
      <c r="E24" s="65">
        <f t="shared" si="1"/>
        <v>0</v>
      </c>
      <c r="F24" s="62">
        <f t="shared" si="1"/>
        <v>0</v>
      </c>
      <c r="G24" s="29">
        <f t="shared" si="1"/>
        <v>0</v>
      </c>
      <c r="H24" s="28">
        <f t="shared" si="1"/>
        <v>0</v>
      </c>
      <c r="I24" s="95">
        <f t="shared" si="1"/>
        <v>0</v>
      </c>
    </row>
    <row r="25" spans="1:9" ht="12.75" customHeight="1">
      <c r="A25" s="98"/>
      <c r="B25" s="180" t="s">
        <v>25</v>
      </c>
      <c r="C25" s="180"/>
      <c r="D25" s="106"/>
      <c r="E25" s="107"/>
      <c r="F25" s="108"/>
      <c r="G25" s="109"/>
      <c r="H25" s="110"/>
      <c r="I25" s="111"/>
    </row>
    <row r="26" spans="1:9" ht="12.75" customHeight="1" thickBot="1">
      <c r="A26" s="181" t="s">
        <v>11</v>
      </c>
      <c r="B26" s="182"/>
      <c r="C26" s="182"/>
      <c r="D26" s="75">
        <f>IF(G26+I26=0,0,(D16*(G16+I16)+D22*(G22+I22)+D24*(G24+I24))/(G26+I26))</f>
        <v>0</v>
      </c>
      <c r="E26" s="76">
        <f>IF(I26=0,0,(E16*I16+E22*I22+E24*I24)/I26)</f>
        <v>0</v>
      </c>
      <c r="F26" s="77">
        <f>F16+F22+F24</f>
        <v>197</v>
      </c>
      <c r="G26" s="78">
        <f>G16+G22+G24</f>
        <v>234712.84000000003</v>
      </c>
      <c r="H26" s="79">
        <f>H16+H22+H24</f>
        <v>0</v>
      </c>
      <c r="I26" s="82">
        <f>I16+I22+I24</f>
        <v>0</v>
      </c>
    </row>
    <row r="27" spans="1:9" ht="12.75" customHeight="1">
      <c r="A27" s="2" t="s">
        <v>68</v>
      </c>
      <c r="D27" s="72">
        <f>IF(SUM(xehet1!D:D)=0,0,SUM(xehet1!T:T)/SUM(xehet1!D:D))-IF((G16+I16+G22+I22)=0,0,(D16*(G16+I16)+D22*(G22+I22))/(G16+I16+G22+I22))</f>
        <v>0</v>
      </c>
      <c r="E27" s="72">
        <f>IF(SUMIF(xehet1!V:V,"&gt;199",xehet1!D:D)=0,0,SUMIF(xehet1!V:V,"&gt;199",xehet1!T:T)/SUMIF(xehet1!V:V,"&gt;199",xehet1!D:D))-IF(I16+I22=0,0,(E16*I16+E22*I22)/(I16+I22))</f>
        <v>0</v>
      </c>
      <c r="F27" s="72">
        <f>COUNTIF(xehet1!P:P,"&lt;=30")-F26+F25</f>
        <v>0</v>
      </c>
      <c r="G27" s="72">
        <f>SUMIF(xehet1!P:P,"&lt;=30",xehet1!D:D)-G26+G25</f>
        <v>-2.9103830456733704E-11</v>
      </c>
      <c r="H27" s="72">
        <f>COUNTIF(xehet1!P:P,"&gt;30")-H26+H25</f>
        <v>0</v>
      </c>
      <c r="I27" s="72">
        <f>SUMIF(xehet1!P:P,"&gt;30",xehet1!D:D)-I26+I25</f>
        <v>0</v>
      </c>
    </row>
    <row r="28" spans="4:9" ht="12.75" customHeight="1">
      <c r="D28" s="34"/>
      <c r="E28" s="34"/>
      <c r="F28" s="34"/>
      <c r="G28" s="34"/>
      <c r="H28" s="34"/>
      <c r="I28" s="34"/>
    </row>
    <row r="29" spans="4:9" ht="12.75" customHeight="1">
      <c r="D29" s="34"/>
      <c r="E29" s="34"/>
      <c r="F29" s="34"/>
      <c r="G29" s="34"/>
      <c r="H29" s="34"/>
      <c r="I29" s="34"/>
    </row>
    <row r="30" ht="13.5" thickBot="1">
      <c r="A30" s="1" t="s">
        <v>30</v>
      </c>
    </row>
    <row r="31" spans="1:7" ht="12.75" customHeight="1">
      <c r="A31" s="162" t="s">
        <v>56</v>
      </c>
      <c r="B31" s="163"/>
      <c r="C31" s="183"/>
      <c r="D31" s="185" t="s">
        <v>57</v>
      </c>
      <c r="E31" s="186"/>
      <c r="F31" s="186"/>
      <c r="G31" s="187"/>
    </row>
    <row r="32" spans="1:7" ht="12.75" customHeight="1">
      <c r="A32" s="165"/>
      <c r="B32" s="166"/>
      <c r="C32" s="184"/>
      <c r="D32" s="60" t="s">
        <v>58</v>
      </c>
      <c r="E32" s="22" t="s">
        <v>59</v>
      </c>
      <c r="F32" s="22" t="s">
        <v>13</v>
      </c>
      <c r="G32" s="74" t="s">
        <v>59</v>
      </c>
    </row>
    <row r="33" spans="1:7" ht="12.75" customHeight="1">
      <c r="A33" s="98"/>
      <c r="B33" s="188" t="s">
        <v>39</v>
      </c>
      <c r="C33" s="189"/>
      <c r="D33" s="70">
        <f>COUNTIF(xehet1!P:P,"&lt;=30")+F25</f>
        <v>197</v>
      </c>
      <c r="E33" s="32">
        <f>IF($D$38=0,0,D33*100/$D$38)</f>
        <v>100</v>
      </c>
      <c r="F33" s="32">
        <f>SUMIF(xehet1!P:P,"&lt;=30",xehet1!D:D)+G25</f>
        <v>234712.84</v>
      </c>
      <c r="G33" s="112">
        <f>IF($F$38=0,0,F33*100/$F$38)</f>
        <v>100</v>
      </c>
    </row>
    <row r="34" spans="1:7" ht="12.75" customHeight="1">
      <c r="A34" s="98"/>
      <c r="B34" s="190" t="s">
        <v>60</v>
      </c>
      <c r="C34" s="191"/>
      <c r="D34" s="71">
        <f>COUNTIF(xehet1!P:P,"&lt;=40")-D33+F25+IF(AND(E25&gt;30,E25&lt;=40),H25)</f>
        <v>0</v>
      </c>
      <c r="E34" s="26">
        <f>IF($D$38=0,0,D34*100/$D$38)</f>
        <v>0</v>
      </c>
      <c r="F34" s="26">
        <f>SUMIF(xehet1!P:P,"&lt;=40",xehet1!D:D)-F33+G25+IF(AND(E25&gt;30,E25&lt;=40),I25)</f>
        <v>0</v>
      </c>
      <c r="G34" s="85">
        <f>IF($F$38=0,0,F34*100/$F$38)</f>
        <v>0</v>
      </c>
    </row>
    <row r="35" spans="1:7" ht="12.75" customHeight="1">
      <c r="A35" s="98"/>
      <c r="B35" s="102" t="s">
        <v>61</v>
      </c>
      <c r="C35" s="103"/>
      <c r="D35" s="71">
        <f>COUNTIF(xehet1!P:P,"&lt;=50")-SUM(D33:D34)+F25+IF(E25&lt;=50,H25)</f>
        <v>0</v>
      </c>
      <c r="E35" s="26">
        <f>IF($D$38=0,0,D35*100/$D$38)</f>
        <v>0</v>
      </c>
      <c r="F35" s="26">
        <f>SUMIF(xehet1!P:P,"&lt;=50",xehet1!D:D)-SUM(F33:F34)+G25+IF(E25&lt;=50,I25)</f>
        <v>0</v>
      </c>
      <c r="G35" s="85">
        <f>IF($F$38=0,0,F35*100/$F$38)</f>
        <v>0</v>
      </c>
    </row>
    <row r="36" spans="1:7" ht="12.75" customHeight="1">
      <c r="A36" s="98"/>
      <c r="B36" s="188" t="s">
        <v>62</v>
      </c>
      <c r="C36" s="189"/>
      <c r="D36" s="71">
        <f>COUNTIF(xehet1!P:P,"&lt;=60")-SUM(D33:D35)+F25+IF(E25&lt;=60,H25)</f>
        <v>0</v>
      </c>
      <c r="E36" s="26">
        <f>IF($D$38=0,0,D36*100/$D$38)</f>
        <v>0</v>
      </c>
      <c r="F36" s="26">
        <f>SUMIF(xehet1!P:P,"&lt;=60",xehet1!D:D)-SUM(F33:F35)+G25+IF(E25&lt;=60,I25)</f>
        <v>0</v>
      </c>
      <c r="G36" s="85">
        <f>IF($F$38=0,0,F36*100/$F$38)</f>
        <v>0</v>
      </c>
    </row>
    <row r="37" spans="1:7" ht="12.75" customHeight="1">
      <c r="A37" s="104"/>
      <c r="B37" s="180" t="s">
        <v>63</v>
      </c>
      <c r="C37" s="192"/>
      <c r="D37" s="94">
        <f>COUNTIF(xehet1!P:P,"&gt;60")+IF(E25&gt;60,H25)</f>
        <v>0</v>
      </c>
      <c r="E37" s="26">
        <f>IF($D$38=0,0,D37*100/$D$38)</f>
        <v>0</v>
      </c>
      <c r="F37" s="30">
        <f>SUMIF(xehet1!P:P,"&gt;60",xehet1!D:D)+IF(E25&gt;60,I25)</f>
        <v>0</v>
      </c>
      <c r="G37" s="85">
        <f>IF($F$38=0,0,F37*100/$F$38)</f>
        <v>0</v>
      </c>
    </row>
    <row r="38" spans="1:7" ht="12.75" customHeight="1" thickBot="1">
      <c r="A38" s="193" t="s">
        <v>11</v>
      </c>
      <c r="B38" s="194"/>
      <c r="C38" s="195"/>
      <c r="D38" s="80">
        <f>SUM(D33:D37)</f>
        <v>197</v>
      </c>
      <c r="E38" s="81">
        <f>SUM(E33:E37)</f>
        <v>100</v>
      </c>
      <c r="F38" s="81">
        <f>SUM(F33:F37)</f>
        <v>234712.84</v>
      </c>
      <c r="G38" s="82">
        <f>SUM(G33:G37)</f>
        <v>100</v>
      </c>
    </row>
    <row r="39" spans="1:6" ht="12.75" customHeight="1">
      <c r="A39" s="33"/>
      <c r="B39" s="33"/>
      <c r="C39" s="33"/>
      <c r="D39" s="72">
        <f>COUNT(xehet1!D:D)-D38+F25+H25</f>
        <v>0</v>
      </c>
      <c r="E39" s="72"/>
      <c r="F39" s="72">
        <f>SUM(xehet1!D:D)-F38+G25+I25</f>
        <v>0</v>
      </c>
    </row>
    <row r="40" spans="1:6" ht="12.75" customHeight="1">
      <c r="A40" s="33"/>
      <c r="B40" s="33"/>
      <c r="C40" s="33"/>
      <c r="D40" s="72">
        <f>F26+H26-D38</f>
        <v>0</v>
      </c>
      <c r="E40" s="72"/>
      <c r="F40" s="72">
        <f>G26+I26-F38</f>
        <v>0</v>
      </c>
    </row>
    <row r="41" spans="1:6" ht="12.75" customHeight="1">
      <c r="A41" s="33"/>
      <c r="B41" s="33"/>
      <c r="C41" s="33"/>
      <c r="D41" s="19"/>
      <c r="E41" s="19"/>
      <c r="F41" s="34"/>
    </row>
    <row r="42" s="42" customFormat="1" ht="15.75">
      <c r="A42" s="41" t="s">
        <v>37</v>
      </c>
    </row>
    <row r="43" ht="12.75" customHeight="1">
      <c r="A43" s="4"/>
    </row>
    <row r="44" ht="12.75" customHeight="1" thickBot="1">
      <c r="A44" s="4"/>
    </row>
    <row r="45" spans="1:9" ht="12.75" customHeight="1">
      <c r="A45" s="162" t="s">
        <v>32</v>
      </c>
      <c r="B45" s="163"/>
      <c r="C45" s="164"/>
      <c r="D45" s="168" t="s">
        <v>43</v>
      </c>
      <c r="E45" s="169"/>
      <c r="F45" s="170" t="s">
        <v>16</v>
      </c>
      <c r="G45" s="171"/>
      <c r="H45" s="171"/>
      <c r="I45" s="172"/>
    </row>
    <row r="46" spans="1:9" ht="12.75" customHeight="1">
      <c r="A46" s="165"/>
      <c r="B46" s="166"/>
      <c r="C46" s="167"/>
      <c r="D46" s="173" t="s">
        <v>46</v>
      </c>
      <c r="E46" s="174"/>
      <c r="F46" s="175" t="s">
        <v>35</v>
      </c>
      <c r="G46" s="176"/>
      <c r="H46" s="176" t="s">
        <v>36</v>
      </c>
      <c r="I46" s="177"/>
    </row>
    <row r="47" spans="1:9" ht="22.5">
      <c r="A47" s="165"/>
      <c r="B47" s="166"/>
      <c r="C47" s="167"/>
      <c r="D47" s="63" t="s">
        <v>11</v>
      </c>
      <c r="E47" s="23" t="s">
        <v>34</v>
      </c>
      <c r="F47" s="60" t="s">
        <v>15</v>
      </c>
      <c r="G47" s="22" t="s">
        <v>13</v>
      </c>
      <c r="H47" s="22" t="s">
        <v>15</v>
      </c>
      <c r="I47" s="74" t="s">
        <v>13</v>
      </c>
    </row>
    <row r="48" spans="1:9" ht="12.75" customHeight="1">
      <c r="A48" s="196" t="s">
        <v>18</v>
      </c>
      <c r="B48" s="197"/>
      <c r="C48" s="198"/>
      <c r="D48" s="64">
        <f>IF(G48+I48=0,0,(D49*(G49+I49)+D50*(G50+I50)+D51*(G51+I51)+D52*(G52+I52)+D53*(G53+I53))/(G48+I48))</f>
        <v>0</v>
      </c>
      <c r="E48" s="65">
        <f>IF(I48=0,0,(E49*I49+E50*I50+E51*I51+E52*I52+E53*I53)/I48)</f>
        <v>0</v>
      </c>
      <c r="F48" s="61">
        <f>SUM(F49:F53)</f>
        <v>0</v>
      </c>
      <c r="G48" s="24">
        <f>SUM(G49:G53)</f>
        <v>0</v>
      </c>
      <c r="H48" s="25">
        <f>SUM(H49:H53)</f>
        <v>0</v>
      </c>
      <c r="I48" s="95">
        <f>SUM(I49:I53)</f>
        <v>0</v>
      </c>
    </row>
    <row r="49" spans="1:9" ht="12.75" customHeight="1">
      <c r="A49" s="98"/>
      <c r="B49" s="99" t="s">
        <v>0</v>
      </c>
      <c r="C49" s="19" t="s">
        <v>7</v>
      </c>
      <c r="D49" s="66">
        <f>IF(F49+H49=0,0,SUMIF(xehet2!S:S,20,xehet2!T:T)/SUMIF(xehet2!S:S,20,xehet2!D:D))</f>
        <v>0</v>
      </c>
      <c r="E49" s="38">
        <f>IF(H49=0,0,SUMIF(xehet2!V:V,220,xehet2!T:T)/SUMIF(xehet2!V:V,220,xehet2!D:D))</f>
        <v>0</v>
      </c>
      <c r="F49" s="39">
        <f>COUNTIF(xehet2!V:V,120)</f>
        <v>0</v>
      </c>
      <c r="G49" s="26">
        <f>SUMIF(xehet2!V:V,120,xehet2!D:D)</f>
        <v>0</v>
      </c>
      <c r="H49" s="27">
        <f>COUNTIF(xehet2!V:V,220)</f>
        <v>0</v>
      </c>
      <c r="I49" s="85">
        <f>SUMIF(xehet2!V:V,220,xehet2!D:D)</f>
        <v>0</v>
      </c>
    </row>
    <row r="50" spans="1:9" ht="12.75" customHeight="1">
      <c r="A50" s="98"/>
      <c r="B50" s="99" t="s">
        <v>1</v>
      </c>
      <c r="C50" s="19" t="s">
        <v>89</v>
      </c>
      <c r="D50" s="66">
        <f>IF(F50+H50=0,0,SUMIF(xehet2!S:S,21,xehet2!T:T)/SUMIF(xehet2!S:S,21,xehet2!D:D))</f>
        <v>0</v>
      </c>
      <c r="E50" s="38">
        <f>IF(H50=0,0,SUMIF(xehet2!V:V,221,xehet2!T:T)/SUMIF(xehet2!V:V,221,xehet2!D:D))</f>
        <v>0</v>
      </c>
      <c r="F50" s="39">
        <f>COUNTIF(xehet2!V:V,121)</f>
        <v>0</v>
      </c>
      <c r="G50" s="26">
        <f>SUMIF(xehet2!V:V,121,xehet2!D:D)</f>
        <v>0</v>
      </c>
      <c r="H50" s="27">
        <f>COUNTIF(xehet2!V:V,221)</f>
        <v>0</v>
      </c>
      <c r="I50" s="85">
        <f>SUMIF(xehet2!V:V,221,xehet2!D:D)</f>
        <v>0</v>
      </c>
    </row>
    <row r="51" spans="1:9" ht="12.75" customHeight="1">
      <c r="A51" s="98"/>
      <c r="B51" s="99" t="s">
        <v>2</v>
      </c>
      <c r="C51" s="19" t="s">
        <v>90</v>
      </c>
      <c r="D51" s="66">
        <f>IF(F51+H51=0,0,SUMIF(xehet2!S:S,22,xehet2!T:T)/SUMIF(xehet2!S:S,22,xehet2!D:D))</f>
        <v>0</v>
      </c>
      <c r="E51" s="38">
        <f>IF(H51=0,0,SUMIF(xehet2!V:V,222,xehet2!T:T)/SUMIF(xehet2!V:V,222,xehet2!D:D))</f>
        <v>0</v>
      </c>
      <c r="F51" s="39">
        <f>COUNTIF(xehet2!V:V,122)</f>
        <v>0</v>
      </c>
      <c r="G51" s="26">
        <f>SUMIF(xehet2!V:V,122,xehet2!D:D)</f>
        <v>0</v>
      </c>
      <c r="H51" s="27">
        <f>COUNTIF(xehet2!V:V,222)</f>
        <v>0</v>
      </c>
      <c r="I51" s="85">
        <f>SUMIF(xehet2!V:V,222,xehet2!D:D)</f>
        <v>0</v>
      </c>
    </row>
    <row r="52" spans="1:9" ht="12.75" customHeight="1">
      <c r="A52" s="98"/>
      <c r="B52" s="99" t="s">
        <v>3</v>
      </c>
      <c r="C52" s="19" t="s">
        <v>91</v>
      </c>
      <c r="D52" s="66">
        <f>IF(F52+H52=0,0,SUMIF(xehet2!S:S,23,xehet2!T:T)/SUMIF(xehet2!S:S,23,xehet2!D:D))</f>
        <v>0</v>
      </c>
      <c r="E52" s="38">
        <f>IF(H52=0,0,SUMIF(xehet2!V:V,223,xehet2!T:T)/SUMIF(xehet2!V:V,223,xehet2!D:D))</f>
        <v>0</v>
      </c>
      <c r="F52" s="39">
        <f>COUNTIF(xehet2!V:V,123)</f>
        <v>0</v>
      </c>
      <c r="G52" s="26">
        <f>SUMIF(xehet2!V:V,123,xehet2!D:D)</f>
        <v>0</v>
      </c>
      <c r="H52" s="27">
        <f>COUNTIF(xehet2!V:V,223)</f>
        <v>0</v>
      </c>
      <c r="I52" s="85">
        <f>SUMIF(xehet2!V:V,223,xehet2!D:D)</f>
        <v>0</v>
      </c>
    </row>
    <row r="53" spans="1:9" ht="12.75" customHeight="1">
      <c r="A53" s="98"/>
      <c r="B53" s="99" t="s">
        <v>104</v>
      </c>
      <c r="C53" s="19" t="s">
        <v>23</v>
      </c>
      <c r="D53" s="66">
        <f>IF(F53+H53=0,0,SUMIF(xehet2!S:S,29,xehet2!T:T)/SUMIF(xehet2!S:S,29,xehet2!D:D))</f>
        <v>0</v>
      </c>
      <c r="E53" s="38">
        <f>IF(H53=0,0,SUMIF(xehet2!V:V,229,xehet2!T:T)/SUMIF(xehet2!V:V,229,xehet2!D:D))</f>
        <v>0</v>
      </c>
      <c r="F53" s="39">
        <f>COUNTIF(xehet2!V:V,129)</f>
        <v>0</v>
      </c>
      <c r="G53" s="26">
        <f>SUMIF(xehet2!V:V,129,xehet2!D:D)</f>
        <v>0</v>
      </c>
      <c r="H53" s="27">
        <f>COUNTIF(xehet2!V:V,229)</f>
        <v>0</v>
      </c>
      <c r="I53" s="85">
        <f>SUMIF(xehet2!V:V,229,xehet2!D:D)</f>
        <v>0</v>
      </c>
    </row>
    <row r="54" spans="1:9" ht="12.75" customHeight="1">
      <c r="A54" s="178" t="s">
        <v>10</v>
      </c>
      <c r="B54" s="179"/>
      <c r="C54" s="179"/>
      <c r="D54" s="64">
        <f aca="true" t="shared" si="2" ref="D54:I54">D55</f>
        <v>0</v>
      </c>
      <c r="E54" s="65">
        <f t="shared" si="2"/>
        <v>0</v>
      </c>
      <c r="F54" s="62">
        <f t="shared" si="2"/>
        <v>0</v>
      </c>
      <c r="G54" s="29">
        <f t="shared" si="2"/>
        <v>0</v>
      </c>
      <c r="H54" s="28">
        <f t="shared" si="2"/>
        <v>0</v>
      </c>
      <c r="I54" s="95">
        <f t="shared" si="2"/>
        <v>0</v>
      </c>
    </row>
    <row r="55" spans="1:9" ht="12.75" customHeight="1">
      <c r="A55" s="98"/>
      <c r="B55" s="132">
        <v>69</v>
      </c>
      <c r="C55" s="101" t="s">
        <v>27</v>
      </c>
      <c r="D55" s="66">
        <f>IF(F55+H55=0,0,SUMIF(xehet2!S:S,69,xehet2!T:T)/SUMIF(xehet2!S:S,69,xehet2!D:D))</f>
        <v>0</v>
      </c>
      <c r="E55" s="38">
        <f>IF(H55=0,0,SUMIF(xehet2!V:V,269,xehet2!T:T)/SUMIF(xehet2!V:V,269,xehet2!D:D))</f>
        <v>0</v>
      </c>
      <c r="F55" s="39">
        <f>COUNTIF(xehet2!V:V,169)</f>
        <v>0</v>
      </c>
      <c r="G55" s="26">
        <f>SUMIF(xehet2!V:V,169,xehet2!D:D)</f>
        <v>0</v>
      </c>
      <c r="H55" s="27">
        <f>COUNTIF(xehet2!V:V,269)</f>
        <v>0</v>
      </c>
      <c r="I55" s="85">
        <f>SUMIF(xehet2!V:V,269,xehet2!D:D)</f>
        <v>0</v>
      </c>
    </row>
    <row r="56" spans="1:9" ht="12.75" customHeight="1">
      <c r="A56" s="199" t="s">
        <v>67</v>
      </c>
      <c r="B56" s="200"/>
      <c r="C56" s="201"/>
      <c r="D56" s="64">
        <f aca="true" t="shared" si="3" ref="D56:I56">D57</f>
        <v>0</v>
      </c>
      <c r="E56" s="65">
        <f t="shared" si="3"/>
        <v>0</v>
      </c>
      <c r="F56" s="62">
        <f t="shared" si="3"/>
        <v>0</v>
      </c>
      <c r="G56" s="29">
        <f t="shared" si="3"/>
        <v>0</v>
      </c>
      <c r="H56" s="28">
        <f t="shared" si="3"/>
        <v>0</v>
      </c>
      <c r="I56" s="95">
        <f t="shared" si="3"/>
        <v>0</v>
      </c>
    </row>
    <row r="57" spans="1:9" ht="12.75" customHeight="1">
      <c r="A57" s="98"/>
      <c r="B57" s="202" t="s">
        <v>20</v>
      </c>
      <c r="C57" s="203"/>
      <c r="D57" s="106"/>
      <c r="E57" s="107"/>
      <c r="F57" s="108"/>
      <c r="G57" s="109"/>
      <c r="H57" s="110"/>
      <c r="I57" s="111"/>
    </row>
    <row r="58" spans="1:9" ht="12.75" customHeight="1" thickBot="1">
      <c r="A58" s="204" t="s">
        <v>11</v>
      </c>
      <c r="B58" s="205"/>
      <c r="C58" s="206"/>
      <c r="D58" s="75">
        <f>IF(G58+I58=0,0,(D48*(G48+I48)+D54*(G54+I54)+D56*(G56+I56))/(G58+I58))</f>
        <v>0</v>
      </c>
      <c r="E58" s="76">
        <f>IF(I58=0,0,(E48*I48+E54*I54+E56*I56)/I58)</f>
        <v>0</v>
      </c>
      <c r="F58" s="77">
        <f>F48+F54+F56</f>
        <v>0</v>
      </c>
      <c r="G58" s="78">
        <f>G48+G54+G56</f>
        <v>0</v>
      </c>
      <c r="H58" s="79">
        <f>H48+H54+H56</f>
        <v>0</v>
      </c>
      <c r="I58" s="82">
        <f>I48+I54+I56</f>
        <v>0</v>
      </c>
    </row>
    <row r="59" spans="1:9" ht="12.75" customHeight="1">
      <c r="A59" s="2" t="s">
        <v>68</v>
      </c>
      <c r="D59" s="72">
        <f>IF(SUM(xehet2!D:D)=0,0,SUM(xehet2!T:T)/SUM(xehet2!D:D))-IF((G48+I48+G54+I54)=0,0,(D48*(G48+I48)+D54*(G54+I54))/(G48+I48+G54+I54))</f>
        <v>0</v>
      </c>
      <c r="E59" s="72">
        <f>IF(SUMIF(xehet2!V:V,"&gt;199",xehet2!D:D)=0,0,SUMIF(xehet2!V:V,"&gt;199",xehet2!T:T)/SUMIF(xehet2!V:V,"&gt;199",xehet2!D:D))-IF(I48+I54=0,0,(E48*I48+E54*I54)/(I48+I54))</f>
        <v>0</v>
      </c>
      <c r="F59" s="72">
        <f>COUNTIF(xehet2!P:P,"&lt;=30")-F58+F57</f>
        <v>0</v>
      </c>
      <c r="G59" s="72">
        <f>SUMIF(xehet2!P:P,"&lt;=30",xehet2!D:D)-G58+G57</f>
        <v>0</v>
      </c>
      <c r="H59" s="72">
        <f>COUNTIF(xehet2!P:P,"&gt;30")-H58+H57</f>
        <v>0</v>
      </c>
      <c r="I59" s="72">
        <f>SUMIF(xehet2!P:P,"&gt;30",xehet2!D:D)-I58+I57</f>
        <v>0</v>
      </c>
    </row>
    <row r="60" spans="4:9" ht="12.75" customHeight="1">
      <c r="D60" s="34"/>
      <c r="E60" s="34"/>
      <c r="F60" s="34"/>
      <c r="G60" s="34"/>
      <c r="H60" s="34"/>
      <c r="I60" s="34"/>
    </row>
    <row r="63" spans="1:9" s="42" customFormat="1" ht="15.75">
      <c r="A63" s="56" t="s">
        <v>64</v>
      </c>
      <c r="B63" s="57"/>
      <c r="C63" s="57"/>
      <c r="D63" s="57"/>
      <c r="E63" s="57"/>
      <c r="F63" s="57"/>
      <c r="G63" s="57"/>
      <c r="H63" s="57"/>
      <c r="I63" s="57"/>
    </row>
    <row r="64" spans="1:9" ht="12.75" customHeight="1">
      <c r="A64" s="35"/>
      <c r="B64" s="34"/>
      <c r="C64" s="34"/>
      <c r="D64" s="34"/>
      <c r="E64" s="34"/>
      <c r="F64" s="34"/>
      <c r="G64" s="34"/>
      <c r="H64" s="34"/>
      <c r="I64" s="34"/>
    </row>
    <row r="65" spans="1:9" ht="12.75" customHeight="1">
      <c r="A65" s="35"/>
      <c r="B65" s="34"/>
      <c r="C65" s="34"/>
      <c r="D65" s="34"/>
      <c r="E65" s="34"/>
      <c r="F65" s="34"/>
      <c r="G65" s="34"/>
      <c r="H65" s="34"/>
      <c r="I65" s="34"/>
    </row>
    <row r="66" s="18" customFormat="1" ht="13.5" thickBot="1">
      <c r="A66" s="1" t="s">
        <v>38</v>
      </c>
    </row>
    <row r="67" spans="1:7" ht="33.75">
      <c r="A67" s="162" t="s">
        <v>31</v>
      </c>
      <c r="B67" s="163"/>
      <c r="C67" s="183"/>
      <c r="D67" s="83" t="s">
        <v>45</v>
      </c>
      <c r="E67" s="73" t="s">
        <v>17</v>
      </c>
      <c r="F67" s="84" t="s">
        <v>13</v>
      </c>
      <c r="G67" s="36"/>
    </row>
    <row r="68" spans="1:6" ht="12.75" customHeight="1">
      <c r="A68" s="105"/>
      <c r="B68" s="207" t="s">
        <v>18</v>
      </c>
      <c r="C68" s="208"/>
      <c r="D68" s="67">
        <f>IF(E68=0,0,SUMIF(xehet32!T:T,22,xehet32!R:R)/SUMIF(xehet32!T:T,22,xehet32!D:D))</f>
        <v>0</v>
      </c>
      <c r="E68" s="37">
        <f>COUNTIF(xehet32!T:T,22)</f>
        <v>0</v>
      </c>
      <c r="F68" s="85">
        <f>SUMIF(xehet32!T:T,22,xehet32!D:D)</f>
        <v>0</v>
      </c>
    </row>
    <row r="69" spans="1:6" ht="12.75" customHeight="1">
      <c r="A69" s="98"/>
      <c r="B69" s="190" t="s">
        <v>10</v>
      </c>
      <c r="C69" s="191"/>
      <c r="D69" s="67">
        <f>IF(E69=0,0,SUMIF(xehet32!T:T,26,xehet32!R:R)/SUMIF(xehet32!T:T,26,xehet32!D:D))</f>
        <v>0</v>
      </c>
      <c r="E69" s="37">
        <f>COUNTIF(xehet32!T:T,26)</f>
        <v>0</v>
      </c>
      <c r="F69" s="85">
        <f>SUMIF(xehet32!T:T,26,xehet32!D:D)</f>
        <v>0</v>
      </c>
    </row>
    <row r="70" spans="1:6" ht="12.75" customHeight="1">
      <c r="A70" s="104"/>
      <c r="B70" s="180" t="s">
        <v>20</v>
      </c>
      <c r="C70" s="192"/>
      <c r="D70" s="67">
        <f>IF(E70=0,0,SUMIF(xehet32!T:T,29,xehet32!R:R)/SUMIF(xehet32!T:T,29,xehet32!D:D))</f>
        <v>0</v>
      </c>
      <c r="E70" s="37">
        <f>COUNTIF(xehet32!T:T,29)</f>
        <v>0</v>
      </c>
      <c r="F70" s="85">
        <f>SUMIF(xehet32!T:T,29,xehet32!D:D)</f>
        <v>0</v>
      </c>
    </row>
    <row r="71" spans="1:6" ht="12.75" customHeight="1" thickBot="1">
      <c r="A71" s="209" t="s">
        <v>11</v>
      </c>
      <c r="B71" s="210"/>
      <c r="C71" s="211"/>
      <c r="D71" s="86">
        <f>IF(F71=0,0,(D68*F68+D69*F69+D70*F70)/F71)</f>
        <v>0</v>
      </c>
      <c r="E71" s="79">
        <f>SUM(E68:E70)</f>
        <v>0</v>
      </c>
      <c r="F71" s="87">
        <f>SUM(F68:F70)</f>
        <v>0</v>
      </c>
    </row>
    <row r="72" spans="4:6" ht="12.75" customHeight="1">
      <c r="D72" s="72"/>
      <c r="E72" s="72"/>
      <c r="F72" s="72"/>
    </row>
    <row r="73" spans="4:6" ht="12.75" customHeight="1">
      <c r="D73" s="113">
        <f>SUMIF(xehet32!O:O,"&gt;90",xehet32!D:D)</f>
        <v>275.88</v>
      </c>
      <c r="E73" s="34"/>
      <c r="F73" s="34"/>
    </row>
    <row r="74" s="18" customFormat="1" ht="13.5" thickBot="1">
      <c r="A74" s="1" t="s">
        <v>47</v>
      </c>
    </row>
    <row r="75" spans="1:7" ht="12.75" customHeight="1">
      <c r="A75" s="162" t="s">
        <v>48</v>
      </c>
      <c r="B75" s="163"/>
      <c r="C75" s="183"/>
      <c r="D75" s="185" t="s">
        <v>65</v>
      </c>
      <c r="E75" s="186"/>
      <c r="F75" s="186"/>
      <c r="G75" s="187"/>
    </row>
    <row r="76" spans="1:7" ht="12.75" customHeight="1">
      <c r="A76" s="165"/>
      <c r="B76" s="166"/>
      <c r="C76" s="184"/>
      <c r="D76" s="60" t="s">
        <v>58</v>
      </c>
      <c r="E76" s="22" t="s">
        <v>59</v>
      </c>
      <c r="F76" s="22" t="s">
        <v>13</v>
      </c>
      <c r="G76" s="74" t="s">
        <v>59</v>
      </c>
    </row>
    <row r="77" spans="1:7" ht="12.75" customHeight="1">
      <c r="A77" s="105"/>
      <c r="B77" s="207" t="s">
        <v>39</v>
      </c>
      <c r="C77" s="208"/>
      <c r="D77" s="39">
        <f>COUNTIF(xehet32!O:O,"&lt;=30")</f>
        <v>75</v>
      </c>
      <c r="E77" s="40">
        <f>IF($D$81=0,0,D77*100/$D$81)</f>
        <v>83.33333333333333</v>
      </c>
      <c r="F77" s="26">
        <f>SUMIF(xehet32!O:O,"&lt;=30",xehet32!D:D)</f>
        <v>77936.23</v>
      </c>
      <c r="G77" s="88">
        <f>IF($F$81=0,0,F77*100/$F$81)</f>
        <v>92.67463932256007</v>
      </c>
    </row>
    <row r="78" spans="1:7" ht="12.75" customHeight="1">
      <c r="A78" s="98"/>
      <c r="B78" s="190" t="s">
        <v>40</v>
      </c>
      <c r="C78" s="191"/>
      <c r="D78" s="39">
        <f>COUNTIF(xehet32!O:O,"&lt;=60")-D77</f>
        <v>12</v>
      </c>
      <c r="E78" s="40">
        <f>IF($D$81=0,0,D78*100/$D$81)</f>
        <v>13.333333333333334</v>
      </c>
      <c r="F78" s="26">
        <f>SUMIF(xehet32!O:O,"&lt;=60",xehet32!D:D)-F77</f>
        <v>5534.810000000012</v>
      </c>
      <c r="G78" s="88">
        <f>IF($F$81=0,0,F78*100/$F$81)</f>
        <v>6.581490026768035</v>
      </c>
    </row>
    <row r="79" spans="1:7" ht="12.75" customHeight="1">
      <c r="A79" s="98"/>
      <c r="B79" s="188" t="s">
        <v>41</v>
      </c>
      <c r="C79" s="189"/>
      <c r="D79" s="39">
        <f>COUNTIF(xehet32!O:O,"&lt;=90")-SUM(D77:D78)</f>
        <v>2</v>
      </c>
      <c r="E79" s="40">
        <f>IF($D$81=0,0,D79*100/$D$81)</f>
        <v>2.2222222222222223</v>
      </c>
      <c r="F79" s="26">
        <f>SUMIF(xehet32!O:O,"&lt;=90",xehet32!D:D)-SUM(F77:F78)</f>
        <v>349.6900000000023</v>
      </c>
      <c r="G79" s="88">
        <f>IF($F$81=0,0,F79*100/$F$81)</f>
        <v>0.41581937726146423</v>
      </c>
    </row>
    <row r="80" spans="1:7" ht="12.75" customHeight="1">
      <c r="A80" s="98"/>
      <c r="B80" s="188" t="s">
        <v>42</v>
      </c>
      <c r="C80" s="189"/>
      <c r="D80" s="39">
        <f>COUNTIF(xehet32!O:O,"&gt;90")</f>
        <v>1</v>
      </c>
      <c r="E80" s="40">
        <f>IF($D$81=0,0,D80*100/$D$81)</f>
        <v>1.1111111111111112</v>
      </c>
      <c r="F80" s="26">
        <f>SUMIF(xehet32!O:O,"&gt;90",xehet32!D:D)</f>
        <v>275.88</v>
      </c>
      <c r="G80" s="88">
        <f>IF($F$81=0,0,F80*100/$F$81)</f>
        <v>0.32805127341042634</v>
      </c>
    </row>
    <row r="81" spans="1:7" ht="12.75" customHeight="1" thickBot="1">
      <c r="A81" s="214" t="s">
        <v>11</v>
      </c>
      <c r="B81" s="215"/>
      <c r="C81" s="216"/>
      <c r="D81" s="77">
        <f>SUM(D77:D80)</f>
        <v>90</v>
      </c>
      <c r="E81" s="89">
        <f>SUM(E77:E80)</f>
        <v>100</v>
      </c>
      <c r="F81" s="78">
        <f>SUM(F77:F80)</f>
        <v>84096.61000000002</v>
      </c>
      <c r="G81" s="90">
        <f>SUM(G77:G80)</f>
        <v>100</v>
      </c>
    </row>
    <row r="82" spans="1:7" ht="12.75" customHeight="1">
      <c r="A82" s="33"/>
      <c r="B82" s="33"/>
      <c r="C82" s="33"/>
      <c r="D82" s="72">
        <f>COUNT(xehet32!D:D)-D81</f>
        <v>0</v>
      </c>
      <c r="E82" s="72"/>
      <c r="F82" s="72">
        <f>SUM(xehet32!D:D)-F81</f>
        <v>0</v>
      </c>
      <c r="G82" s="34"/>
    </row>
    <row r="83" spans="1:7" ht="12.75" customHeight="1">
      <c r="A83" s="33"/>
      <c r="B83" s="33"/>
      <c r="C83" s="33"/>
      <c r="D83" s="72"/>
      <c r="E83" s="72"/>
      <c r="F83" s="72"/>
      <c r="G83" s="34"/>
    </row>
    <row r="84" spans="1:7" ht="12.75" customHeight="1">
      <c r="A84" s="33"/>
      <c r="B84" s="33"/>
      <c r="C84" s="33"/>
      <c r="D84" s="19"/>
      <c r="E84" s="19"/>
      <c r="F84" s="34"/>
      <c r="G84" s="34"/>
    </row>
    <row r="85" spans="1:5" s="42" customFormat="1" ht="15.75">
      <c r="A85" s="56" t="s">
        <v>49</v>
      </c>
      <c r="B85" s="58"/>
      <c r="C85" s="58"/>
      <c r="D85" s="59"/>
      <c r="E85" s="59"/>
    </row>
    <row r="86" spans="1:5" ht="12.75" customHeight="1">
      <c r="A86" s="35"/>
      <c r="B86" s="33"/>
      <c r="C86" s="33"/>
      <c r="D86" s="19"/>
      <c r="E86" s="19"/>
    </row>
    <row r="87" ht="12.75" customHeight="1" thickBot="1"/>
    <row r="88" spans="1:8" ht="12.75" customHeight="1">
      <c r="A88" s="217" t="s">
        <v>51</v>
      </c>
      <c r="B88" s="218"/>
      <c r="C88" s="219"/>
      <c r="D88" s="228" t="s">
        <v>53</v>
      </c>
      <c r="E88" s="229"/>
      <c r="F88" s="228" t="s">
        <v>54</v>
      </c>
      <c r="G88" s="229"/>
      <c r="H88" s="223" t="s">
        <v>50</v>
      </c>
    </row>
    <row r="89" spans="1:8" ht="12.75" customHeight="1">
      <c r="A89" s="220"/>
      <c r="B89" s="221"/>
      <c r="C89" s="222"/>
      <c r="D89" s="68" t="s">
        <v>52</v>
      </c>
      <c r="E89" s="69" t="s">
        <v>44</v>
      </c>
      <c r="F89" s="68" t="s">
        <v>52</v>
      </c>
      <c r="G89" s="69" t="s">
        <v>44</v>
      </c>
      <c r="H89" s="224"/>
    </row>
    <row r="90" spans="1:8" ht="12.75" customHeight="1" thickBot="1">
      <c r="A90" s="225" t="str">
        <f>D3</f>
        <v>OARSOALDEA</v>
      </c>
      <c r="B90" s="226"/>
      <c r="C90" s="227"/>
      <c r="D90" s="91">
        <f>IF((SUM(xehet1!D:D)+G24+I24)=0,0,(SUM(xehet1!U:U)+D24*(G24+I24))/(SUM(xehet1!D:D)+G24+I24))</f>
        <v>-28.589797686398406</v>
      </c>
      <c r="E90" s="92">
        <f>SUM(xehet1!D:D)+G24+I24</f>
        <v>234712.84</v>
      </c>
      <c r="F90" s="91">
        <f>IF((SUM(xehet2!D:D)+SUM(xehet32!D:D)+G56+I56)=0,0,(SUM(xehet2!U:U)+SUM(xehet32!S:S)+D56*(G56+I56))/(SUM(xehet2!D:D)+SUM(xehet32!D:D)+G56+I56))</f>
        <v>0.029870407380273706</v>
      </c>
      <c r="G90" s="92">
        <f>SUM(xehet2!D:D)+SUM(xehet32!D:D)+G56+I56</f>
        <v>84096.61000000002</v>
      </c>
      <c r="H90" s="93">
        <f>IF(E90=0,F90,IF(G90=0,D90,(D90*E90+F90*G90)/(E90+G90)))</f>
        <v>-21.04040708329066</v>
      </c>
    </row>
    <row r="91" spans="4:8" ht="12.75" customHeight="1">
      <c r="D91" s="31"/>
      <c r="E91" s="72">
        <f>E90-F38</f>
        <v>0</v>
      </c>
      <c r="F91" s="72"/>
      <c r="G91" s="72">
        <f>G90-G58-I58-F81</f>
        <v>0</v>
      </c>
      <c r="H91" s="72">
        <f>IF(H92=0,0,(SUM(xehet1!U:U)+SUM(xehet2!U:U)+SUM(xehet32!S:S)+D24*(G24+I24)+D56*(G56+I56))/(SUM(xehet1!D:D)+SUM(xehet2!D:D)+SUM(xehet32!D:D)+G24+I24+G56+I56))-IF(H90="",0,H90)</f>
        <v>0</v>
      </c>
    </row>
    <row r="92" spans="1:8" ht="12.75" customHeight="1" thickBot="1">
      <c r="A92" s="4" t="s">
        <v>55</v>
      </c>
      <c r="E92" s="34"/>
      <c r="F92" s="34"/>
      <c r="G92" s="34"/>
      <c r="H92" s="114">
        <f>(SUM(xehet1!D:D)+SUM(xehet2!D:D)+SUM(xehet32!D:D)+G24+I24+G56+I56)</f>
        <v>318809.45</v>
      </c>
    </row>
    <row r="93" spans="2:8" ht="43.5" customHeight="1" thickBot="1">
      <c r="B93" s="212"/>
      <c r="C93" s="213"/>
      <c r="E93" s="34"/>
      <c r="F93" s="34"/>
      <c r="G93" s="34"/>
      <c r="H93" s="34"/>
    </row>
  </sheetData>
  <sheetProtection/>
  <mergeCells count="50">
    <mergeCell ref="D75:G75"/>
    <mergeCell ref="B93:C93"/>
    <mergeCell ref="A81:C81"/>
    <mergeCell ref="A88:C89"/>
    <mergeCell ref="H88:H89"/>
    <mergeCell ref="A90:C90"/>
    <mergeCell ref="D88:E88"/>
    <mergeCell ref="F88:G88"/>
    <mergeCell ref="B77:C77"/>
    <mergeCell ref="B78:C78"/>
    <mergeCell ref="B79:C79"/>
    <mergeCell ref="B80:C80"/>
    <mergeCell ref="A58:C58"/>
    <mergeCell ref="A67:C67"/>
    <mergeCell ref="B68:C68"/>
    <mergeCell ref="B69:C69"/>
    <mergeCell ref="B70:C70"/>
    <mergeCell ref="A71:C71"/>
    <mergeCell ref="A75:C76"/>
    <mergeCell ref="A45:C47"/>
    <mergeCell ref="D45:E45"/>
    <mergeCell ref="A48:C48"/>
    <mergeCell ref="A54:C54"/>
    <mergeCell ref="A56:C56"/>
    <mergeCell ref="B57:C57"/>
    <mergeCell ref="F45:I45"/>
    <mergeCell ref="D46:E46"/>
    <mergeCell ref="F46:G46"/>
    <mergeCell ref="H46:I46"/>
    <mergeCell ref="D31:G31"/>
    <mergeCell ref="B33:C33"/>
    <mergeCell ref="B34:C34"/>
    <mergeCell ref="B36:C36"/>
    <mergeCell ref="B37:C37"/>
    <mergeCell ref="A38:C38"/>
    <mergeCell ref="A16:C16"/>
    <mergeCell ref="A22:C22"/>
    <mergeCell ref="A24:C24"/>
    <mergeCell ref="B25:C25"/>
    <mergeCell ref="A26:C26"/>
    <mergeCell ref="A31:C32"/>
    <mergeCell ref="A1:B1"/>
    <mergeCell ref="A2:I2"/>
    <mergeCell ref="D3:G3"/>
    <mergeCell ref="A13:C15"/>
    <mergeCell ref="D13:E13"/>
    <mergeCell ref="F13:I13"/>
    <mergeCell ref="D14:E14"/>
    <mergeCell ref="F14:G14"/>
    <mergeCell ref="H14:I14"/>
  </mergeCells>
  <conditionalFormatting sqref="H90">
    <cfRule type="expression" priority="1" dxfId="0" stopIfTrue="1">
      <formula>$E$90+$G$90=0</formula>
    </cfRule>
  </conditionalFormatting>
  <conditionalFormatting sqref="G77:G80">
    <cfRule type="expression" priority="2" dxfId="0" stopIfTrue="1">
      <formula>F$81=0</formula>
    </cfRule>
  </conditionalFormatting>
  <conditionalFormatting sqref="D17:D21 D23 D49:D53 D55 D68:D70">
    <cfRule type="expression" priority="3" dxfId="0" stopIfTrue="1">
      <formula>F17+H17=0</formula>
    </cfRule>
  </conditionalFormatting>
  <conditionalFormatting sqref="E17:E21 E23 E49:E53 E55">
    <cfRule type="expression" priority="4" dxfId="0" stopIfTrue="1">
      <formula>H17=0</formula>
    </cfRule>
  </conditionalFormatting>
  <conditionalFormatting sqref="D56 D22 D24 D48 D54">
    <cfRule type="expression" priority="5" dxfId="3" stopIfTrue="1">
      <formula>F22+H22=0</formula>
    </cfRule>
  </conditionalFormatting>
  <conditionalFormatting sqref="E16 E22 E24 E48 E54 E56">
    <cfRule type="expression" priority="6" dxfId="3" stopIfTrue="1">
      <formula>H16=0</formula>
    </cfRule>
  </conditionalFormatting>
  <conditionalFormatting sqref="E77:E80">
    <cfRule type="expression" priority="7" dxfId="0" stopIfTrue="1">
      <formula>$D$81=0</formula>
    </cfRule>
  </conditionalFormatting>
  <conditionalFormatting sqref="E38">
    <cfRule type="expression" priority="8" dxfId="3" stopIfTrue="1">
      <formula>$D$38=0</formula>
    </cfRule>
  </conditionalFormatting>
  <conditionalFormatting sqref="G38">
    <cfRule type="expression" priority="9" dxfId="3" stopIfTrue="1">
      <formula>$F$38=0</formula>
    </cfRule>
  </conditionalFormatting>
  <conditionalFormatting sqref="A1:B1 E91:H91 D39:F40 D59:I59 D72:F72 D82:F83 H27:I27 E27:F27">
    <cfRule type="cellIs" priority="10" dxfId="0" operator="equal" stopIfTrue="1">
      <formula>0</formula>
    </cfRule>
  </conditionalFormatting>
  <conditionalFormatting sqref="D16">
    <cfRule type="expression" priority="11" dxfId="3" stopIfTrue="1">
      <formula>F16+H16=0</formula>
    </cfRule>
  </conditionalFormatting>
  <conditionalFormatting sqref="D26:E26 D58:E58">
    <cfRule type="cellIs" priority="12" dxfId="3" operator="equal" stopIfTrue="1">
      <formula>0</formula>
    </cfRule>
  </conditionalFormatting>
  <conditionalFormatting sqref="D27">
    <cfRule type="cellIs" priority="13" dxfId="0" operator="equal" stopIfTrue="1">
      <formula>0</formula>
    </cfRule>
    <cfRule type="expression" priority="14" dxfId="0" stopIfTrue="1">
      <formula>"SUMA(xehet1!D:D)=0"</formula>
    </cfRule>
  </conditionalFormatting>
  <conditionalFormatting sqref="G27">
    <cfRule type="cellIs" priority="15" dxfId="0" operator="between" stopIfTrue="1">
      <formula>-0.00001</formula>
      <formula>0.00001</formula>
    </cfRule>
  </conditionalFormatting>
  <printOptions horizontalCentered="1"/>
  <pageMargins left="0.6299212598425197" right="0.6692913385826772" top="0.5905511811023623" bottom="0.5905511811023623" header="0.31496062992125984" footer="0.11811023622047245"/>
  <pageSetup horizontalDpi="600" verticalDpi="600" orientation="portrait" paperSize="9" scale="60" r:id="rId1"/>
  <ignoredErrors>
    <ignoredError sqref="E38 G38" evalError="1"/>
    <ignoredError sqref="F23:I23 D55:E55 F55:I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>
    <tabColor indexed="47"/>
  </sheetPr>
  <dimension ref="A2:Y209"/>
  <sheetViews>
    <sheetView zoomScalePageLayoutView="0" workbookViewId="0" topLeftCell="H166">
      <selection activeCell="H201" sqref="A201:IV202"/>
    </sheetView>
  </sheetViews>
  <sheetFormatPr defaultColWidth="9.140625" defaultRowHeight="12.75"/>
  <cols>
    <col min="1" max="1" width="13.7109375" style="2" customWidth="1"/>
    <col min="2" max="2" width="12.7109375" style="14" customWidth="1"/>
    <col min="3" max="3" width="28.00390625" style="127" bestFit="1" customWidth="1"/>
    <col min="4" max="4" width="12.57421875" style="8" customWidth="1"/>
    <col min="5" max="5" width="7.421875" style="2" bestFit="1" customWidth="1"/>
    <col min="6" max="6" width="11.28125" style="2" customWidth="1"/>
    <col min="7" max="7" width="14.281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1.421875" style="14" bestFit="1" customWidth="1"/>
    <col min="12" max="12" width="9.00390625" style="14" bestFit="1" customWidth="1"/>
    <col min="13" max="13" width="10.140625" style="14" bestFit="1" customWidth="1"/>
    <col min="14" max="14" width="10.7109375" style="14" bestFit="1" customWidth="1"/>
    <col min="15" max="16" width="10.140625" style="9" bestFit="1" customWidth="1"/>
    <col min="17" max="17" width="6.28125" style="9" bestFit="1" customWidth="1"/>
    <col min="18" max="18" width="6.7109375" style="9" customWidth="1"/>
    <col min="19" max="19" width="3.8515625" style="2" bestFit="1" customWidth="1"/>
    <col min="20" max="20" width="13.00390625" style="8" bestFit="1" customWidth="1"/>
    <col min="21" max="21" width="14.57421875" style="8" bestFit="1" customWidth="1"/>
    <col min="22" max="22" width="9.140625" style="133" customWidth="1"/>
    <col min="23" max="16384" width="9.140625" style="2" customWidth="1"/>
  </cols>
  <sheetData>
    <row r="2" spans="4:7" ht="11.25">
      <c r="D2" s="125" t="s">
        <v>102</v>
      </c>
      <c r="G2" s="130"/>
    </row>
    <row r="3" spans="1:10" ht="11.25">
      <c r="A3" s="3" t="s">
        <v>69</v>
      </c>
      <c r="B3" s="16"/>
      <c r="C3" s="128"/>
      <c r="D3" s="126" t="s">
        <v>103</v>
      </c>
      <c r="E3" s="4"/>
      <c r="F3" s="4"/>
      <c r="G3" s="4"/>
      <c r="H3" s="4"/>
      <c r="I3" s="4"/>
      <c r="J3" s="4"/>
    </row>
    <row r="4" spans="13:14" ht="11.25">
      <c r="M4" s="14" t="s">
        <v>105</v>
      </c>
      <c r="N4" s="14" t="s">
        <v>106</v>
      </c>
    </row>
    <row r="5" spans="1:22" ht="22.5">
      <c r="A5" s="5" t="s">
        <v>75</v>
      </c>
      <c r="B5" s="17" t="s">
        <v>70</v>
      </c>
      <c r="C5" s="129" t="s">
        <v>86</v>
      </c>
      <c r="D5" s="116" t="s">
        <v>44</v>
      </c>
      <c r="E5" s="5" t="s">
        <v>85</v>
      </c>
      <c r="F5" s="124" t="s">
        <v>71</v>
      </c>
      <c r="G5" s="124" t="s">
        <v>72</v>
      </c>
      <c r="H5" s="6" t="s">
        <v>83</v>
      </c>
      <c r="I5" s="6" t="s">
        <v>84</v>
      </c>
      <c r="J5" s="6" t="s">
        <v>73</v>
      </c>
      <c r="K5" s="117" t="s">
        <v>74</v>
      </c>
      <c r="L5" s="15" t="s">
        <v>76</v>
      </c>
      <c r="M5" s="117" t="s">
        <v>92</v>
      </c>
      <c r="N5" s="117" t="s">
        <v>93</v>
      </c>
      <c r="O5" s="10" t="s">
        <v>77</v>
      </c>
      <c r="P5" s="11" t="s">
        <v>78</v>
      </c>
      <c r="Q5" s="12" t="s">
        <v>79</v>
      </c>
      <c r="R5" s="13" t="s">
        <v>50</v>
      </c>
      <c r="S5" s="131" t="s">
        <v>94</v>
      </c>
      <c r="T5" s="8" t="s">
        <v>95</v>
      </c>
      <c r="U5" s="8" t="s">
        <v>96</v>
      </c>
      <c r="V5" s="133" t="s">
        <v>97</v>
      </c>
    </row>
    <row r="6" spans="1:25" s="135" customFormat="1" ht="15">
      <c r="A6" s="147" t="s">
        <v>371</v>
      </c>
      <c r="B6" s="148">
        <v>43009</v>
      </c>
      <c r="C6" s="149" t="s">
        <v>633</v>
      </c>
      <c r="D6" s="150">
        <v>408.89</v>
      </c>
      <c r="J6" s="136"/>
      <c r="K6" s="151">
        <v>43013</v>
      </c>
      <c r="L6" s="134"/>
      <c r="M6" s="143">
        <v>43015</v>
      </c>
      <c r="N6" s="134">
        <f>+M6</f>
        <v>43015</v>
      </c>
      <c r="O6" s="137">
        <f>+M6-K6</f>
        <v>2</v>
      </c>
      <c r="P6" s="137">
        <f>+N6-M6</f>
        <v>0</v>
      </c>
      <c r="Q6" s="137">
        <f>+N6-K6</f>
        <v>2</v>
      </c>
      <c r="R6" s="137">
        <f>+Q6-30</f>
        <v>-28</v>
      </c>
      <c r="S6" s="135">
        <v>29</v>
      </c>
      <c r="T6" s="138">
        <f>+P6*D6</f>
        <v>0</v>
      </c>
      <c r="U6" s="138">
        <f>+R6*D6</f>
        <v>-11448.92</v>
      </c>
      <c r="V6" s="136">
        <f>IF(P6&gt;30,200+S6,100+S6)</f>
        <v>129</v>
      </c>
      <c r="Y6" s="138"/>
    </row>
    <row r="7" spans="1:25" s="135" customFormat="1" ht="15">
      <c r="A7" s="147" t="s">
        <v>370</v>
      </c>
      <c r="B7" s="148">
        <v>43012</v>
      </c>
      <c r="C7" s="149" t="s">
        <v>632</v>
      </c>
      <c r="D7" s="150">
        <v>650</v>
      </c>
      <c r="K7" s="151">
        <v>43013</v>
      </c>
      <c r="L7" s="134"/>
      <c r="M7" s="143">
        <v>43025</v>
      </c>
      <c r="N7" s="134">
        <f>+M7</f>
        <v>43025</v>
      </c>
      <c r="O7" s="137">
        <f aca="true" t="shared" si="0" ref="O7:O47">+M7-K7</f>
        <v>12</v>
      </c>
      <c r="P7" s="137">
        <f>+N7-M7</f>
        <v>0</v>
      </c>
      <c r="Q7" s="137">
        <f>+N7-K7</f>
        <v>12</v>
      </c>
      <c r="R7" s="137">
        <f>+Q7-30</f>
        <v>-18</v>
      </c>
      <c r="S7" s="135">
        <v>29</v>
      </c>
      <c r="T7" s="138">
        <f>+P7*D7</f>
        <v>0</v>
      </c>
      <c r="U7" s="138">
        <f>+R7*D7</f>
        <v>-11700</v>
      </c>
      <c r="V7" s="136">
        <f>IF(P7&gt;30,200+S7,100+S7)</f>
        <v>129</v>
      </c>
      <c r="Y7" s="138"/>
    </row>
    <row r="8" spans="1:25" s="135" customFormat="1" ht="15">
      <c r="A8" s="147" t="s">
        <v>369</v>
      </c>
      <c r="B8" s="148">
        <v>43039</v>
      </c>
      <c r="C8" s="149" t="s">
        <v>631</v>
      </c>
      <c r="D8" s="150">
        <v>4320</v>
      </c>
      <c r="K8" s="151">
        <v>43013</v>
      </c>
      <c r="L8" s="134"/>
      <c r="M8" s="143">
        <v>43039</v>
      </c>
      <c r="N8" s="134">
        <f>+M8</f>
        <v>43039</v>
      </c>
      <c r="O8" s="137">
        <f t="shared" si="0"/>
        <v>26</v>
      </c>
      <c r="P8" s="137">
        <f>+N8-M8</f>
        <v>0</v>
      </c>
      <c r="Q8" s="137">
        <f>+N8-K8</f>
        <v>26</v>
      </c>
      <c r="R8" s="137">
        <f>+Q8-30</f>
        <v>-4</v>
      </c>
      <c r="S8" s="135">
        <v>29</v>
      </c>
      <c r="T8" s="138">
        <f>+P8*D8</f>
        <v>0</v>
      </c>
      <c r="U8" s="138">
        <f>+R8*D8</f>
        <v>-17280</v>
      </c>
      <c r="V8" s="136">
        <f>IF(P8&gt;30,200+S8,100+S8)</f>
        <v>129</v>
      </c>
      <c r="Y8" s="138"/>
    </row>
    <row r="9" spans="1:25" s="135" customFormat="1" ht="15">
      <c r="A9" s="147" t="s">
        <v>368</v>
      </c>
      <c r="B9" s="148">
        <v>43010</v>
      </c>
      <c r="C9" s="149" t="s">
        <v>630</v>
      </c>
      <c r="D9" s="150">
        <v>61.41</v>
      </c>
      <c r="K9" s="151">
        <v>43013</v>
      </c>
      <c r="L9" s="134"/>
      <c r="M9" s="143">
        <v>43013</v>
      </c>
      <c r="N9" s="134">
        <f>+M9</f>
        <v>43013</v>
      </c>
      <c r="O9" s="137">
        <f t="shared" si="0"/>
        <v>0</v>
      </c>
      <c r="P9" s="137">
        <f>+N9-M9</f>
        <v>0</v>
      </c>
      <c r="Q9" s="137">
        <f>+N9-K9</f>
        <v>0</v>
      </c>
      <c r="R9" s="137">
        <f>+Q9-30</f>
        <v>-30</v>
      </c>
      <c r="S9" s="135">
        <v>20</v>
      </c>
      <c r="T9" s="138">
        <f>+P9*D9</f>
        <v>0</v>
      </c>
      <c r="U9" s="138">
        <f>+R9*D9</f>
        <v>-1842.3</v>
      </c>
      <c r="V9" s="136">
        <f>IF(P9&gt;30,200+S9,100+S9)</f>
        <v>120</v>
      </c>
      <c r="Y9" s="138"/>
    </row>
    <row r="10" spans="1:25" s="136" customFormat="1" ht="15">
      <c r="A10" s="147" t="s">
        <v>367</v>
      </c>
      <c r="B10" s="148">
        <v>43010</v>
      </c>
      <c r="C10" s="149" t="s">
        <v>629</v>
      </c>
      <c r="D10" s="150">
        <v>217.8</v>
      </c>
      <c r="E10" s="139"/>
      <c r="F10" s="139"/>
      <c r="G10" s="140"/>
      <c r="H10" s="140"/>
      <c r="K10" s="151">
        <v>43013</v>
      </c>
      <c r="L10" s="145"/>
      <c r="M10" s="143">
        <v>43013</v>
      </c>
      <c r="N10" s="134">
        <f>+M10</f>
        <v>43013</v>
      </c>
      <c r="O10" s="137">
        <f t="shared" si="0"/>
        <v>0</v>
      </c>
      <c r="P10" s="137">
        <f>+N10-M10</f>
        <v>0</v>
      </c>
      <c r="Q10" s="137">
        <f>+N10-K10</f>
        <v>0</v>
      </c>
      <c r="R10" s="137">
        <f>+Q10-30</f>
        <v>-30</v>
      </c>
      <c r="S10" s="136">
        <v>20</v>
      </c>
      <c r="T10" s="138">
        <f>+P10*D10</f>
        <v>0</v>
      </c>
      <c r="U10" s="138">
        <f>+R10*D10</f>
        <v>-6534</v>
      </c>
      <c r="V10" s="136">
        <f>IF(P10&gt;30,200+S10,100+S10)</f>
        <v>120</v>
      </c>
      <c r="Y10" s="146"/>
    </row>
    <row r="11" spans="1:25" s="136" customFormat="1" ht="15">
      <c r="A11" s="147" t="s">
        <v>366</v>
      </c>
      <c r="B11" s="148">
        <v>43010</v>
      </c>
      <c r="C11" s="149" t="s">
        <v>628</v>
      </c>
      <c r="D11" s="150">
        <v>28.6</v>
      </c>
      <c r="E11" s="139"/>
      <c r="F11" s="139"/>
      <c r="G11" s="139"/>
      <c r="H11" s="139"/>
      <c r="K11" s="151">
        <v>43013</v>
      </c>
      <c r="L11" s="145"/>
      <c r="M11" s="143">
        <v>43013</v>
      </c>
      <c r="N11" s="134">
        <f>+M11</f>
        <v>43013</v>
      </c>
      <c r="O11" s="137">
        <f t="shared" si="0"/>
        <v>0</v>
      </c>
      <c r="P11" s="137">
        <f>+N11-M11</f>
        <v>0</v>
      </c>
      <c r="Q11" s="137">
        <f>+N11-K11</f>
        <v>0</v>
      </c>
      <c r="R11" s="137">
        <f>+Q11-30</f>
        <v>-30</v>
      </c>
      <c r="S11" s="136">
        <v>20</v>
      </c>
      <c r="T11" s="138">
        <f>+P11*D11</f>
        <v>0</v>
      </c>
      <c r="U11" s="138">
        <f>+R11*D11</f>
        <v>-858</v>
      </c>
      <c r="V11" s="136">
        <f>IF(P11&gt;30,200+S11,100+S11)</f>
        <v>120</v>
      </c>
      <c r="Y11" s="146"/>
    </row>
    <row r="12" spans="1:25" s="135" customFormat="1" ht="15">
      <c r="A12" s="147" t="s">
        <v>365</v>
      </c>
      <c r="B12" s="148">
        <v>43009</v>
      </c>
      <c r="C12" s="149" t="s">
        <v>627</v>
      </c>
      <c r="D12" s="150">
        <v>151.65</v>
      </c>
      <c r="E12" s="139"/>
      <c r="F12" s="141"/>
      <c r="K12" s="151">
        <v>43010</v>
      </c>
      <c r="L12" s="134"/>
      <c r="M12" s="144">
        <v>43010</v>
      </c>
      <c r="N12" s="134">
        <f>+M12</f>
        <v>43010</v>
      </c>
      <c r="O12" s="137">
        <f t="shared" si="0"/>
        <v>0</v>
      </c>
      <c r="P12" s="137">
        <f>+N12-M12</f>
        <v>0</v>
      </c>
      <c r="Q12" s="137">
        <f>+N12-K12</f>
        <v>0</v>
      </c>
      <c r="R12" s="137">
        <f>+Q12-30</f>
        <v>-30</v>
      </c>
      <c r="S12" s="135">
        <v>29</v>
      </c>
      <c r="T12" s="138">
        <f>+P12*D12</f>
        <v>0</v>
      </c>
      <c r="U12" s="138">
        <f>+R12*D12</f>
        <v>-4549.5</v>
      </c>
      <c r="V12" s="136">
        <f>IF(P12&gt;30,200+S12,100+S12)</f>
        <v>129</v>
      </c>
      <c r="Y12" s="138"/>
    </row>
    <row r="13" spans="1:25" s="135" customFormat="1" ht="15">
      <c r="A13" s="147" t="s">
        <v>364</v>
      </c>
      <c r="B13" s="148">
        <v>43009</v>
      </c>
      <c r="C13" s="149" t="s">
        <v>626</v>
      </c>
      <c r="D13" s="150">
        <v>56.86</v>
      </c>
      <c r="E13" s="139"/>
      <c r="F13" s="141"/>
      <c r="K13" s="151">
        <v>43010</v>
      </c>
      <c r="L13" s="134"/>
      <c r="M13" s="144">
        <v>43010</v>
      </c>
      <c r="N13" s="134">
        <f>+M13</f>
        <v>43010</v>
      </c>
      <c r="O13" s="137">
        <f t="shared" si="0"/>
        <v>0</v>
      </c>
      <c r="P13" s="137">
        <f>+N13-M13</f>
        <v>0</v>
      </c>
      <c r="Q13" s="137">
        <f>+N13-K13</f>
        <v>0</v>
      </c>
      <c r="R13" s="137">
        <f>+Q13-30</f>
        <v>-30</v>
      </c>
      <c r="S13" s="135">
        <v>21</v>
      </c>
      <c r="T13" s="138">
        <f>+P13*D13</f>
        <v>0</v>
      </c>
      <c r="U13" s="138">
        <f>+R13*D13</f>
        <v>-1705.8</v>
      </c>
      <c r="V13" s="136">
        <f>IF(P13&gt;30,200+S13,100+S13)</f>
        <v>121</v>
      </c>
      <c r="Y13" s="138"/>
    </row>
    <row r="14" spans="1:25" s="135" customFormat="1" ht="15">
      <c r="A14" s="147" t="s">
        <v>363</v>
      </c>
      <c r="B14" s="148">
        <v>43009</v>
      </c>
      <c r="C14" s="149" t="s">
        <v>625</v>
      </c>
      <c r="D14" s="150">
        <v>39.4</v>
      </c>
      <c r="E14" s="139"/>
      <c r="F14" s="141"/>
      <c r="K14" s="151">
        <v>43017</v>
      </c>
      <c r="L14" s="134"/>
      <c r="M14" s="143">
        <v>43025</v>
      </c>
      <c r="N14" s="134">
        <f>+M14</f>
        <v>43025</v>
      </c>
      <c r="O14" s="137">
        <f t="shared" si="0"/>
        <v>8</v>
      </c>
      <c r="P14" s="137">
        <f>+N14-M14</f>
        <v>0</v>
      </c>
      <c r="Q14" s="137">
        <f>+N14-K14</f>
        <v>8</v>
      </c>
      <c r="R14" s="137">
        <f>+Q14-30</f>
        <v>-22</v>
      </c>
      <c r="S14" s="135">
        <v>29</v>
      </c>
      <c r="T14" s="138">
        <f>+P14*D14</f>
        <v>0</v>
      </c>
      <c r="U14" s="138">
        <f>+R14*D14</f>
        <v>-866.8</v>
      </c>
      <c r="V14" s="136">
        <f>IF(P14&gt;30,200+S14,100+S14)</f>
        <v>129</v>
      </c>
      <c r="Y14" s="138"/>
    </row>
    <row r="15" spans="1:25" s="135" customFormat="1" ht="15">
      <c r="A15" s="147" t="s">
        <v>362</v>
      </c>
      <c r="B15" s="148">
        <v>43009</v>
      </c>
      <c r="C15" s="149" t="s">
        <v>624</v>
      </c>
      <c r="D15" s="150">
        <v>726</v>
      </c>
      <c r="E15" s="139"/>
      <c r="F15" s="141"/>
      <c r="K15" s="151">
        <v>43017</v>
      </c>
      <c r="L15" s="134"/>
      <c r="M15" s="143">
        <v>43025</v>
      </c>
      <c r="N15" s="134">
        <f>+M15</f>
        <v>43025</v>
      </c>
      <c r="O15" s="137">
        <f t="shared" si="0"/>
        <v>8</v>
      </c>
      <c r="P15" s="137">
        <f>+N15-M15</f>
        <v>0</v>
      </c>
      <c r="Q15" s="137">
        <f>+N15-K15</f>
        <v>8</v>
      </c>
      <c r="R15" s="137">
        <f>+Q15-30</f>
        <v>-22</v>
      </c>
      <c r="S15" s="135">
        <v>29</v>
      </c>
      <c r="T15" s="138">
        <f>+P15*D15</f>
        <v>0</v>
      </c>
      <c r="U15" s="138">
        <f>+R15*D15</f>
        <v>-15972</v>
      </c>
      <c r="V15" s="136">
        <f>IF(P15&gt;30,200+S15,100+S15)</f>
        <v>129</v>
      </c>
      <c r="Y15" s="138"/>
    </row>
    <row r="16" spans="1:25" s="135" customFormat="1" ht="15">
      <c r="A16" s="147" t="s">
        <v>361</v>
      </c>
      <c r="B16" s="148">
        <v>43018</v>
      </c>
      <c r="C16" s="149" t="s">
        <v>623</v>
      </c>
      <c r="D16" s="150">
        <v>108.91</v>
      </c>
      <c r="E16" s="139"/>
      <c r="F16" s="141"/>
      <c r="K16" s="151">
        <v>43024</v>
      </c>
      <c r="L16" s="134"/>
      <c r="M16" s="143">
        <v>43025</v>
      </c>
      <c r="N16" s="134">
        <f>+M16</f>
        <v>43025</v>
      </c>
      <c r="O16" s="137">
        <f t="shared" si="0"/>
        <v>1</v>
      </c>
      <c r="P16" s="137">
        <f>+N16-M16</f>
        <v>0</v>
      </c>
      <c r="Q16" s="137">
        <f>+N16-K16</f>
        <v>1</v>
      </c>
      <c r="R16" s="137">
        <f>+Q16-30</f>
        <v>-29</v>
      </c>
      <c r="S16" s="135">
        <v>29</v>
      </c>
      <c r="T16" s="138">
        <f>+P16*D16</f>
        <v>0</v>
      </c>
      <c r="U16" s="138">
        <f>+R16*D16</f>
        <v>-3158.39</v>
      </c>
      <c r="V16" s="136">
        <f>IF(P16&gt;30,200+S16,100+S16)</f>
        <v>129</v>
      </c>
      <c r="Y16" s="138"/>
    </row>
    <row r="17" spans="1:25" s="135" customFormat="1" ht="15">
      <c r="A17" s="147" t="s">
        <v>360</v>
      </c>
      <c r="B17" s="148">
        <v>43019</v>
      </c>
      <c r="C17" s="149" t="s">
        <v>622</v>
      </c>
      <c r="D17" s="150">
        <v>46.68</v>
      </c>
      <c r="E17" s="139"/>
      <c r="F17" s="141"/>
      <c r="K17" s="151">
        <v>43032</v>
      </c>
      <c r="L17" s="134"/>
      <c r="M17" s="143">
        <v>43039</v>
      </c>
      <c r="N17" s="134">
        <f>+M17</f>
        <v>43039</v>
      </c>
      <c r="O17" s="137">
        <f t="shared" si="0"/>
        <v>7</v>
      </c>
      <c r="P17" s="137">
        <f>+N17-M17</f>
        <v>0</v>
      </c>
      <c r="Q17" s="137">
        <f>+N17-K17</f>
        <v>7</v>
      </c>
      <c r="R17" s="137">
        <f>+Q17-30</f>
        <v>-23</v>
      </c>
      <c r="S17" s="135">
        <v>22</v>
      </c>
      <c r="T17" s="138">
        <f>+P17*D17</f>
        <v>0</v>
      </c>
      <c r="U17" s="138">
        <f>+R17*D17</f>
        <v>-1073.64</v>
      </c>
      <c r="V17" s="136">
        <f>IF(P17&gt;30,200+S17,100+S17)</f>
        <v>122</v>
      </c>
      <c r="Y17" s="138"/>
    </row>
    <row r="18" spans="1:25" s="135" customFormat="1" ht="15">
      <c r="A18" s="147" t="s">
        <v>359</v>
      </c>
      <c r="B18" s="148">
        <v>43020</v>
      </c>
      <c r="C18" s="149" t="s">
        <v>621</v>
      </c>
      <c r="D18" s="150">
        <v>362.3</v>
      </c>
      <c r="E18" s="139"/>
      <c r="F18" s="141"/>
      <c r="K18" s="151">
        <v>43032</v>
      </c>
      <c r="L18" s="134"/>
      <c r="M18" s="143">
        <v>43039</v>
      </c>
      <c r="N18" s="134">
        <f>+M18</f>
        <v>43039</v>
      </c>
      <c r="O18" s="137">
        <f t="shared" si="0"/>
        <v>7</v>
      </c>
      <c r="P18" s="137">
        <f>+N18-M18</f>
        <v>0</v>
      </c>
      <c r="Q18" s="137">
        <f>+N18-K18</f>
        <v>7</v>
      </c>
      <c r="R18" s="137">
        <f>+Q18-30</f>
        <v>-23</v>
      </c>
      <c r="S18" s="135">
        <v>21</v>
      </c>
      <c r="T18" s="138">
        <f>+P18*D18</f>
        <v>0</v>
      </c>
      <c r="U18" s="138">
        <f>+R18*D18</f>
        <v>-8332.9</v>
      </c>
      <c r="V18" s="136">
        <f>IF(P18&gt;30,200+S18,100+S18)</f>
        <v>121</v>
      </c>
      <c r="Y18" s="138"/>
    </row>
    <row r="19" spans="1:25" s="135" customFormat="1" ht="15">
      <c r="A19" s="147" t="s">
        <v>358</v>
      </c>
      <c r="B19" s="148">
        <v>43018</v>
      </c>
      <c r="C19" s="149" t="s">
        <v>620</v>
      </c>
      <c r="D19" s="150">
        <v>363</v>
      </c>
      <c r="E19" s="139"/>
      <c r="F19" s="141"/>
      <c r="K19" s="151">
        <v>43032</v>
      </c>
      <c r="L19" s="134"/>
      <c r="M19" s="143">
        <v>43039</v>
      </c>
      <c r="N19" s="134">
        <f>+M19</f>
        <v>43039</v>
      </c>
      <c r="O19" s="137">
        <f t="shared" si="0"/>
        <v>7</v>
      </c>
      <c r="P19" s="137">
        <f>+N19-M19</f>
        <v>0</v>
      </c>
      <c r="Q19" s="137">
        <f>+N19-K19</f>
        <v>7</v>
      </c>
      <c r="R19" s="137">
        <f>+Q19-30</f>
        <v>-23</v>
      </c>
      <c r="S19" s="135">
        <v>29</v>
      </c>
      <c r="T19" s="138">
        <f>+P19*D19</f>
        <v>0</v>
      </c>
      <c r="U19" s="138">
        <f>+R19*D19</f>
        <v>-8349</v>
      </c>
      <c r="V19" s="136">
        <f>IF(P19&gt;30,200+S19,100+S19)</f>
        <v>129</v>
      </c>
      <c r="Y19" s="138"/>
    </row>
    <row r="20" spans="1:25" s="135" customFormat="1" ht="15">
      <c r="A20" s="147" t="s">
        <v>357</v>
      </c>
      <c r="B20" s="148">
        <v>43026</v>
      </c>
      <c r="C20" s="149" t="s">
        <v>619</v>
      </c>
      <c r="D20" s="150">
        <v>96.8</v>
      </c>
      <c r="E20" s="139"/>
      <c r="F20" s="141"/>
      <c r="K20" s="151">
        <v>43032</v>
      </c>
      <c r="L20" s="134"/>
      <c r="M20" s="143">
        <v>43039</v>
      </c>
      <c r="N20" s="134">
        <f>+M20</f>
        <v>43039</v>
      </c>
      <c r="O20" s="137">
        <f t="shared" si="0"/>
        <v>7</v>
      </c>
      <c r="P20" s="137">
        <f>+N20-M20</f>
        <v>0</v>
      </c>
      <c r="Q20" s="137">
        <f>+N20-K20</f>
        <v>7</v>
      </c>
      <c r="R20" s="137">
        <f>+Q20-30</f>
        <v>-23</v>
      </c>
      <c r="S20" s="135">
        <v>21</v>
      </c>
      <c r="T20" s="138">
        <f>+P20*D20</f>
        <v>0</v>
      </c>
      <c r="U20" s="138">
        <f>+R20*D20</f>
        <v>-2226.4</v>
      </c>
      <c r="V20" s="136">
        <f>IF(P20&gt;30,200+S20,100+S20)</f>
        <v>121</v>
      </c>
      <c r="Y20" s="138"/>
    </row>
    <row r="21" spans="1:25" s="136" customFormat="1" ht="15">
      <c r="A21" s="147" t="s">
        <v>356</v>
      </c>
      <c r="B21" s="148">
        <v>43010</v>
      </c>
      <c r="C21" s="149" t="s">
        <v>618</v>
      </c>
      <c r="D21" s="150">
        <v>2456.54</v>
      </c>
      <c r="E21" s="139"/>
      <c r="F21" s="142"/>
      <c r="K21" s="151">
        <v>43032</v>
      </c>
      <c r="L21" s="134"/>
      <c r="M21" s="143">
        <v>43034</v>
      </c>
      <c r="N21" s="134">
        <f>+M21</f>
        <v>43034</v>
      </c>
      <c r="O21" s="137">
        <f t="shared" si="0"/>
        <v>2</v>
      </c>
      <c r="P21" s="137">
        <f>+N21-M21</f>
        <v>0</v>
      </c>
      <c r="Q21" s="137">
        <f>+N21-K21</f>
        <v>2</v>
      </c>
      <c r="R21" s="137">
        <f>+Q21-30</f>
        <v>-28</v>
      </c>
      <c r="S21" s="136">
        <v>29</v>
      </c>
      <c r="T21" s="138">
        <f>+P21*D21</f>
        <v>0</v>
      </c>
      <c r="U21" s="138">
        <f>+R21*D21</f>
        <v>-68783.12</v>
      </c>
      <c r="V21" s="136">
        <f>IF(P21&gt;30,200+S21,100+S21)</f>
        <v>129</v>
      </c>
      <c r="Y21" s="138"/>
    </row>
    <row r="22" spans="1:25" s="135" customFormat="1" ht="15">
      <c r="A22" s="147" t="s">
        <v>355</v>
      </c>
      <c r="B22" s="148">
        <v>43011</v>
      </c>
      <c r="C22" s="149" t="s">
        <v>617</v>
      </c>
      <c r="D22" s="150">
        <v>50</v>
      </c>
      <c r="E22" s="139"/>
      <c r="F22" s="141"/>
      <c r="K22" s="151">
        <v>43032</v>
      </c>
      <c r="L22" s="134"/>
      <c r="M22" s="143">
        <v>43011</v>
      </c>
      <c r="N22" s="134">
        <f>+M22</f>
        <v>43011</v>
      </c>
      <c r="O22" s="137">
        <f t="shared" si="0"/>
        <v>-21</v>
      </c>
      <c r="P22" s="137">
        <f>+N22-M22</f>
        <v>0</v>
      </c>
      <c r="Q22" s="137">
        <f>+N22-K22</f>
        <v>-21</v>
      </c>
      <c r="R22" s="137">
        <f>+Q22-30</f>
        <v>-51</v>
      </c>
      <c r="S22" s="136">
        <v>29</v>
      </c>
      <c r="T22" s="138">
        <f>+P22*D22</f>
        <v>0</v>
      </c>
      <c r="U22" s="138">
        <f>+R22*D22</f>
        <v>-2550</v>
      </c>
      <c r="V22" s="136">
        <f>IF(P22&gt;30,200+S22,100+S22)</f>
        <v>129</v>
      </c>
      <c r="Y22" s="138"/>
    </row>
    <row r="23" spans="1:25" s="136" customFormat="1" ht="15">
      <c r="A23" s="147" t="s">
        <v>354</v>
      </c>
      <c r="B23" s="148">
        <v>43012</v>
      </c>
      <c r="C23" s="149" t="s">
        <v>616</v>
      </c>
      <c r="D23" s="150">
        <v>108.91</v>
      </c>
      <c r="E23" s="139"/>
      <c r="F23" s="142"/>
      <c r="K23" s="151">
        <v>43032</v>
      </c>
      <c r="L23" s="145"/>
      <c r="M23" s="143">
        <v>43039</v>
      </c>
      <c r="N23" s="134">
        <f>+M23</f>
        <v>43039</v>
      </c>
      <c r="O23" s="137">
        <f t="shared" si="0"/>
        <v>7</v>
      </c>
      <c r="P23" s="137">
        <f>+N23-M23</f>
        <v>0</v>
      </c>
      <c r="Q23" s="137">
        <f>+N23-K23</f>
        <v>7</v>
      </c>
      <c r="R23" s="137">
        <f>+Q23-30</f>
        <v>-23</v>
      </c>
      <c r="S23" s="136">
        <v>29</v>
      </c>
      <c r="T23" s="138">
        <f>+P23*D23</f>
        <v>0</v>
      </c>
      <c r="U23" s="138">
        <f>+R23*D23</f>
        <v>-2504.93</v>
      </c>
      <c r="V23" s="136">
        <f>IF(P23&gt;30,200+S23,100+S23)</f>
        <v>129</v>
      </c>
      <c r="Y23" s="146"/>
    </row>
    <row r="24" spans="1:25" s="136" customFormat="1" ht="15">
      <c r="A24" s="147" t="s">
        <v>353</v>
      </c>
      <c r="B24" s="148">
        <v>43010</v>
      </c>
      <c r="C24" s="149" t="s">
        <v>615</v>
      </c>
      <c r="D24" s="150">
        <v>423.51</v>
      </c>
      <c r="E24" s="139"/>
      <c r="F24" s="142"/>
      <c r="K24" s="151">
        <v>43032</v>
      </c>
      <c r="L24" s="145"/>
      <c r="M24" s="144">
        <v>43040</v>
      </c>
      <c r="N24" s="134">
        <f>+M24</f>
        <v>43040</v>
      </c>
      <c r="O24" s="137">
        <f t="shared" si="0"/>
        <v>8</v>
      </c>
      <c r="P24" s="137">
        <f>+N24-M24</f>
        <v>0</v>
      </c>
      <c r="Q24" s="137">
        <f>+N24-K24</f>
        <v>8</v>
      </c>
      <c r="R24" s="137">
        <f>+Q24-30</f>
        <v>-22</v>
      </c>
      <c r="S24" s="136">
        <v>21</v>
      </c>
      <c r="T24" s="138">
        <f>+P24*D24</f>
        <v>0</v>
      </c>
      <c r="U24" s="138">
        <f>+R24*D24</f>
        <v>-9317.22</v>
      </c>
      <c r="V24" s="136">
        <f>IF(P24&gt;30,200+S24,100+S24)</f>
        <v>121</v>
      </c>
      <c r="Y24" s="146"/>
    </row>
    <row r="25" spans="1:25" s="135" customFormat="1" ht="15">
      <c r="A25" s="147" t="s">
        <v>352</v>
      </c>
      <c r="B25" s="148">
        <v>43028</v>
      </c>
      <c r="C25" s="149" t="s">
        <v>614</v>
      </c>
      <c r="D25" s="150">
        <v>19899.41</v>
      </c>
      <c r="E25" s="139"/>
      <c r="F25" s="141"/>
      <c r="K25" s="151">
        <v>43034</v>
      </c>
      <c r="L25" s="134"/>
      <c r="M25" s="144">
        <v>43034</v>
      </c>
      <c r="N25" s="134">
        <f>+M25</f>
        <v>43034</v>
      </c>
      <c r="O25" s="137">
        <f t="shared" si="0"/>
        <v>0</v>
      </c>
      <c r="P25" s="137">
        <f>+N25-M25</f>
        <v>0</v>
      </c>
      <c r="Q25" s="137">
        <f>+N25-K25</f>
        <v>0</v>
      </c>
      <c r="R25" s="137">
        <f>+Q25-30</f>
        <v>-30</v>
      </c>
      <c r="S25" s="136">
        <v>29</v>
      </c>
      <c r="T25" s="138">
        <f>+P25*D25</f>
        <v>0</v>
      </c>
      <c r="U25" s="138">
        <f>+R25*D25</f>
        <v>-596982.3</v>
      </c>
      <c r="V25" s="136">
        <f>IF(P25&gt;30,200+S25,100+S25)</f>
        <v>129</v>
      </c>
      <c r="Y25" s="138"/>
    </row>
    <row r="26" spans="1:25" s="135" customFormat="1" ht="15">
      <c r="A26" s="147" t="s">
        <v>351</v>
      </c>
      <c r="B26" s="148">
        <v>43033</v>
      </c>
      <c r="C26" s="149" t="s">
        <v>613</v>
      </c>
      <c r="D26" s="150">
        <v>2299</v>
      </c>
      <c r="E26" s="139"/>
      <c r="F26" s="141"/>
      <c r="K26" s="151">
        <v>43035</v>
      </c>
      <c r="L26" s="134"/>
      <c r="M26" s="144">
        <v>43035</v>
      </c>
      <c r="N26" s="134">
        <f>+M26</f>
        <v>43035</v>
      </c>
      <c r="O26" s="137">
        <f t="shared" si="0"/>
        <v>0</v>
      </c>
      <c r="P26" s="137">
        <f>+N26-M26</f>
        <v>0</v>
      </c>
      <c r="Q26" s="137">
        <f>+N26-K26</f>
        <v>0</v>
      </c>
      <c r="R26" s="137">
        <f>+Q26-30</f>
        <v>-30</v>
      </c>
      <c r="S26" s="136">
        <v>29</v>
      </c>
      <c r="T26" s="138">
        <f>+P26*D26</f>
        <v>0</v>
      </c>
      <c r="U26" s="138">
        <f>+R26*D26</f>
        <v>-68970</v>
      </c>
      <c r="V26" s="136">
        <f>IF(P26&gt;30,200+S26,100+S26)</f>
        <v>129</v>
      </c>
      <c r="Y26" s="138"/>
    </row>
    <row r="27" spans="1:25" s="136" customFormat="1" ht="15">
      <c r="A27" s="147" t="s">
        <v>350</v>
      </c>
      <c r="B27" s="148">
        <v>43031</v>
      </c>
      <c r="C27" s="149" t="s">
        <v>612</v>
      </c>
      <c r="D27" s="150">
        <v>151.25</v>
      </c>
      <c r="E27" s="139"/>
      <c r="F27" s="142"/>
      <c r="K27" s="151">
        <v>43039</v>
      </c>
      <c r="L27" s="145"/>
      <c r="M27" s="143">
        <v>43053</v>
      </c>
      <c r="N27" s="134">
        <f>+M27</f>
        <v>43053</v>
      </c>
      <c r="O27" s="137">
        <f t="shared" si="0"/>
        <v>14</v>
      </c>
      <c r="P27" s="137">
        <f>+N27-M27</f>
        <v>0</v>
      </c>
      <c r="Q27" s="137">
        <f>+N27-K27</f>
        <v>14</v>
      </c>
      <c r="R27" s="137">
        <f>+Q27-30</f>
        <v>-16</v>
      </c>
      <c r="S27" s="136">
        <v>21</v>
      </c>
      <c r="T27" s="138">
        <f>+P27*D27</f>
        <v>0</v>
      </c>
      <c r="U27" s="138">
        <f>+R27*D27</f>
        <v>-2420</v>
      </c>
      <c r="V27" s="136">
        <f>IF(P27&gt;30,200+S27,100+S27)</f>
        <v>121</v>
      </c>
      <c r="Y27" s="146"/>
    </row>
    <row r="28" spans="1:25" s="135" customFormat="1" ht="15">
      <c r="A28" s="147" t="s">
        <v>349</v>
      </c>
      <c r="B28" s="148">
        <v>43069</v>
      </c>
      <c r="C28" s="149" t="s">
        <v>611</v>
      </c>
      <c r="D28" s="150">
        <v>4536</v>
      </c>
      <c r="E28" s="139"/>
      <c r="F28" s="141"/>
      <c r="K28" s="151">
        <v>43041</v>
      </c>
      <c r="L28" s="134"/>
      <c r="M28" s="143">
        <v>43069</v>
      </c>
      <c r="N28" s="134">
        <f>+M28</f>
        <v>43069</v>
      </c>
      <c r="O28" s="137">
        <f t="shared" si="0"/>
        <v>28</v>
      </c>
      <c r="P28" s="137">
        <f>+N28-M28</f>
        <v>0</v>
      </c>
      <c r="Q28" s="137">
        <f>+N28-K28</f>
        <v>28</v>
      </c>
      <c r="R28" s="137">
        <f>+Q28-30</f>
        <v>-2</v>
      </c>
      <c r="S28" s="136">
        <v>29</v>
      </c>
      <c r="T28" s="138">
        <f>+P28*D28</f>
        <v>0</v>
      </c>
      <c r="U28" s="138">
        <f>+R28*D28</f>
        <v>-9072</v>
      </c>
      <c r="V28" s="136">
        <f>IF(P28&gt;30,200+S28,100+S28)</f>
        <v>129</v>
      </c>
      <c r="Y28" s="138"/>
    </row>
    <row r="29" spans="1:25" s="135" customFormat="1" ht="15">
      <c r="A29" s="147" t="s">
        <v>348</v>
      </c>
      <c r="B29" s="148">
        <v>43014</v>
      </c>
      <c r="C29" s="149" t="s">
        <v>610</v>
      </c>
      <c r="D29" s="150">
        <v>1309.99</v>
      </c>
      <c r="E29" s="141"/>
      <c r="J29" s="134"/>
      <c r="K29" s="151">
        <v>43042</v>
      </c>
      <c r="L29" s="134"/>
      <c r="M29" s="143">
        <v>43053</v>
      </c>
      <c r="N29" s="134">
        <f>+M29</f>
        <v>43053</v>
      </c>
      <c r="O29" s="137">
        <f>+M29-K29</f>
        <v>11</v>
      </c>
      <c r="P29" s="137">
        <f>+N29-M29</f>
        <v>0</v>
      </c>
      <c r="Q29" s="137">
        <f>+N29-K29</f>
        <v>11</v>
      </c>
      <c r="R29" s="137">
        <f>+Q29-30</f>
        <v>-19</v>
      </c>
      <c r="S29" s="136">
        <v>21</v>
      </c>
      <c r="T29" s="138">
        <f>+P29*D29</f>
        <v>0</v>
      </c>
      <c r="U29" s="138">
        <f>+R29*D29</f>
        <v>-24889.81</v>
      </c>
      <c r="V29" s="136">
        <f>IF(P29&gt;30,200+S29,100+S29)</f>
        <v>121</v>
      </c>
      <c r="Y29" s="138"/>
    </row>
    <row r="30" spans="1:25" s="135" customFormat="1" ht="15">
      <c r="A30" s="147" t="s">
        <v>347</v>
      </c>
      <c r="B30" s="148">
        <v>43035</v>
      </c>
      <c r="C30" s="149" t="s">
        <v>609</v>
      </c>
      <c r="D30" s="150">
        <v>58.08</v>
      </c>
      <c r="E30" s="139"/>
      <c r="F30" s="141"/>
      <c r="K30" s="151">
        <v>43045</v>
      </c>
      <c r="L30" s="134"/>
      <c r="M30" s="143">
        <v>43053</v>
      </c>
      <c r="N30" s="134">
        <f>+M30</f>
        <v>43053</v>
      </c>
      <c r="O30" s="137">
        <f t="shared" si="0"/>
        <v>8</v>
      </c>
      <c r="P30" s="137">
        <f>+N30-M30</f>
        <v>0</v>
      </c>
      <c r="Q30" s="137">
        <f>+N30-K30</f>
        <v>8</v>
      </c>
      <c r="R30" s="137">
        <f>+Q30-30</f>
        <v>-22</v>
      </c>
      <c r="S30" s="136">
        <v>29</v>
      </c>
      <c r="T30" s="138">
        <f>+P30*D30</f>
        <v>0</v>
      </c>
      <c r="U30" s="138">
        <f>+R30*D30</f>
        <v>-1277.76</v>
      </c>
      <c r="V30" s="136">
        <f>IF(P30&gt;30,200+S30,100+S30)</f>
        <v>129</v>
      </c>
      <c r="Y30" s="138"/>
    </row>
    <row r="31" spans="1:25" s="135" customFormat="1" ht="15">
      <c r="A31" s="147" t="s">
        <v>346</v>
      </c>
      <c r="B31" s="148">
        <v>43031</v>
      </c>
      <c r="C31" s="149" t="s">
        <v>608</v>
      </c>
      <c r="D31" s="150">
        <v>119.79</v>
      </c>
      <c r="E31" s="139"/>
      <c r="F31" s="141"/>
      <c r="K31" s="151">
        <v>43032</v>
      </c>
      <c r="L31" s="134"/>
      <c r="M31" s="144">
        <v>43032</v>
      </c>
      <c r="N31" s="134">
        <f>+M31</f>
        <v>43032</v>
      </c>
      <c r="O31" s="137">
        <f t="shared" si="0"/>
        <v>0</v>
      </c>
      <c r="P31" s="137">
        <f>+N31-M31</f>
        <v>0</v>
      </c>
      <c r="Q31" s="137">
        <f>+N31-K31</f>
        <v>0</v>
      </c>
      <c r="R31" s="137">
        <f>+Q31-30</f>
        <v>-30</v>
      </c>
      <c r="S31" s="136">
        <v>29</v>
      </c>
      <c r="T31" s="138">
        <f>+P31*D31</f>
        <v>0</v>
      </c>
      <c r="U31" s="138">
        <f>+R31*D31</f>
        <v>-3593.7000000000003</v>
      </c>
      <c r="V31" s="136">
        <f>IF(P31&gt;30,200+S31,100+S31)</f>
        <v>129</v>
      </c>
      <c r="Y31" s="138"/>
    </row>
    <row r="32" spans="1:25" s="135" customFormat="1" ht="15">
      <c r="A32" s="147" t="s">
        <v>345</v>
      </c>
      <c r="B32" s="148">
        <v>43035</v>
      </c>
      <c r="C32" s="149" t="s">
        <v>607</v>
      </c>
      <c r="D32" s="150">
        <v>600</v>
      </c>
      <c r="E32" s="139"/>
      <c r="F32" s="141"/>
      <c r="K32" s="151">
        <v>43045</v>
      </c>
      <c r="L32" s="134"/>
      <c r="M32" s="143">
        <v>43053</v>
      </c>
      <c r="N32" s="134">
        <f>+M32</f>
        <v>43053</v>
      </c>
      <c r="O32" s="137">
        <f t="shared" si="0"/>
        <v>8</v>
      </c>
      <c r="P32" s="137">
        <f>+N32-M32</f>
        <v>0</v>
      </c>
      <c r="Q32" s="137">
        <f>+N32-K32</f>
        <v>8</v>
      </c>
      <c r="R32" s="137">
        <f>+Q32-30</f>
        <v>-22</v>
      </c>
      <c r="S32" s="136">
        <v>29</v>
      </c>
      <c r="T32" s="138">
        <f>+P32*D32</f>
        <v>0</v>
      </c>
      <c r="U32" s="138">
        <f>+R32*D32</f>
        <v>-13200</v>
      </c>
      <c r="V32" s="136">
        <f>IF(P32&gt;30,200+S32,100+S32)</f>
        <v>129</v>
      </c>
      <c r="Y32" s="138"/>
    </row>
    <row r="33" spans="1:25" s="135" customFormat="1" ht="15">
      <c r="A33" s="147" t="s">
        <v>344</v>
      </c>
      <c r="B33" s="148">
        <v>43038</v>
      </c>
      <c r="C33" s="149" t="s">
        <v>606</v>
      </c>
      <c r="D33" s="150">
        <v>8665.27</v>
      </c>
      <c r="E33" s="139"/>
      <c r="F33" s="141"/>
      <c r="K33" s="151">
        <v>43046</v>
      </c>
      <c r="L33" s="134"/>
      <c r="M33" s="143">
        <v>43053</v>
      </c>
      <c r="N33" s="134">
        <f>+M33</f>
        <v>43053</v>
      </c>
      <c r="O33" s="137">
        <f t="shared" si="0"/>
        <v>7</v>
      </c>
      <c r="P33" s="137">
        <f>+N33-M33</f>
        <v>0</v>
      </c>
      <c r="Q33" s="137">
        <f>+N33-K33</f>
        <v>7</v>
      </c>
      <c r="R33" s="137">
        <f>+Q33-30</f>
        <v>-23</v>
      </c>
      <c r="S33" s="136">
        <v>29</v>
      </c>
      <c r="T33" s="138">
        <f>+P33*D33</f>
        <v>0</v>
      </c>
      <c r="U33" s="138">
        <f>+R33*D33</f>
        <v>-199301.21000000002</v>
      </c>
      <c r="V33" s="136">
        <f>IF(P33&gt;30,200+S33,100+S33)</f>
        <v>129</v>
      </c>
      <c r="Y33" s="138"/>
    </row>
    <row r="34" spans="1:25" s="135" customFormat="1" ht="15">
      <c r="A34" s="147" t="s">
        <v>343</v>
      </c>
      <c r="B34" s="148">
        <v>43039</v>
      </c>
      <c r="C34" s="149" t="s">
        <v>605</v>
      </c>
      <c r="D34" s="150">
        <v>844.18</v>
      </c>
      <c r="E34" s="139"/>
      <c r="F34" s="141"/>
      <c r="K34" s="151">
        <v>43047</v>
      </c>
      <c r="L34" s="134"/>
      <c r="M34" s="143">
        <v>43053</v>
      </c>
      <c r="N34" s="134">
        <f>+M34</f>
        <v>43053</v>
      </c>
      <c r="O34" s="137">
        <f t="shared" si="0"/>
        <v>6</v>
      </c>
      <c r="P34" s="137">
        <f>+N34-M34</f>
        <v>0</v>
      </c>
      <c r="Q34" s="137">
        <f>+N34-K34</f>
        <v>6</v>
      </c>
      <c r="R34" s="137">
        <f>+Q34-30</f>
        <v>-24</v>
      </c>
      <c r="S34" s="136">
        <v>29</v>
      </c>
      <c r="T34" s="138">
        <f>+P34*D34</f>
        <v>0</v>
      </c>
      <c r="U34" s="138">
        <f>+R34*D34</f>
        <v>-20260.32</v>
      </c>
      <c r="V34" s="136">
        <f>IF(P34&gt;30,200+S34,100+S34)</f>
        <v>129</v>
      </c>
      <c r="Y34" s="138"/>
    </row>
    <row r="35" spans="1:25" s="135" customFormat="1" ht="15">
      <c r="A35" s="147" t="s">
        <v>342</v>
      </c>
      <c r="B35" s="148">
        <v>43039</v>
      </c>
      <c r="C35" s="149" t="s">
        <v>604</v>
      </c>
      <c r="D35" s="150">
        <v>1108.17</v>
      </c>
      <c r="E35" s="139"/>
      <c r="F35" s="141"/>
      <c r="K35" s="151">
        <v>43047</v>
      </c>
      <c r="L35" s="134"/>
      <c r="M35" s="143">
        <v>43039</v>
      </c>
      <c r="N35" s="134">
        <f>+M35</f>
        <v>43039</v>
      </c>
      <c r="O35" s="137">
        <f t="shared" si="0"/>
        <v>-8</v>
      </c>
      <c r="P35" s="137">
        <f>+N35-M35</f>
        <v>0</v>
      </c>
      <c r="Q35" s="137">
        <f>+N35-K35</f>
        <v>-8</v>
      </c>
      <c r="R35" s="137">
        <f>+Q35-30</f>
        <v>-38</v>
      </c>
      <c r="S35" s="136">
        <v>29</v>
      </c>
      <c r="T35" s="138">
        <f>+P35*D35</f>
        <v>0</v>
      </c>
      <c r="U35" s="138">
        <f>+R35*D35</f>
        <v>-42110.46000000001</v>
      </c>
      <c r="V35" s="136">
        <f>IF(P35&gt;30,200+S35,100+S35)</f>
        <v>129</v>
      </c>
      <c r="Y35" s="138"/>
    </row>
    <row r="36" spans="1:25" s="135" customFormat="1" ht="15">
      <c r="A36" s="147" t="s">
        <v>341</v>
      </c>
      <c r="B36" s="148">
        <v>43009</v>
      </c>
      <c r="C36" s="149" t="s">
        <v>603</v>
      </c>
      <c r="D36" s="150">
        <v>692.97</v>
      </c>
      <c r="E36" s="139"/>
      <c r="F36" s="141"/>
      <c r="K36" s="151">
        <v>43047</v>
      </c>
      <c r="L36" s="134"/>
      <c r="M36" s="143">
        <v>43053</v>
      </c>
      <c r="N36" s="134">
        <f>+M36</f>
        <v>43053</v>
      </c>
      <c r="O36" s="137">
        <f t="shared" si="0"/>
        <v>6</v>
      </c>
      <c r="P36" s="137">
        <f>+N36-M36</f>
        <v>0</v>
      </c>
      <c r="Q36" s="137">
        <f>+N36-K36</f>
        <v>6</v>
      </c>
      <c r="R36" s="137">
        <f>+Q36-30</f>
        <v>-24</v>
      </c>
      <c r="S36" s="136">
        <v>29</v>
      </c>
      <c r="T36" s="138">
        <f>+P36*D36</f>
        <v>0</v>
      </c>
      <c r="U36" s="138">
        <f>+R36*D36</f>
        <v>-16631.28</v>
      </c>
      <c r="V36" s="136">
        <f>IF(P36&gt;30,200+S36,100+S36)</f>
        <v>129</v>
      </c>
      <c r="Y36" s="138"/>
    </row>
    <row r="37" spans="1:25" s="135" customFormat="1" ht="15">
      <c r="A37" s="147" t="s">
        <v>340</v>
      </c>
      <c r="B37" s="148">
        <v>43035</v>
      </c>
      <c r="C37" s="149" t="s">
        <v>602</v>
      </c>
      <c r="D37" s="150">
        <v>486.63</v>
      </c>
      <c r="E37" s="139"/>
      <c r="F37" s="141"/>
      <c r="K37" s="151">
        <v>43048</v>
      </c>
      <c r="L37" s="134"/>
      <c r="M37" s="143">
        <v>43066</v>
      </c>
      <c r="N37" s="134">
        <f>+M37</f>
        <v>43066</v>
      </c>
      <c r="O37" s="137">
        <f t="shared" si="0"/>
        <v>18</v>
      </c>
      <c r="P37" s="137">
        <f>+N37-M37</f>
        <v>0</v>
      </c>
      <c r="Q37" s="137">
        <f>+N37-K37</f>
        <v>18</v>
      </c>
      <c r="R37" s="137">
        <f>+Q37-30</f>
        <v>-12</v>
      </c>
      <c r="S37" s="136">
        <v>21</v>
      </c>
      <c r="T37" s="138">
        <f>+P37*D37</f>
        <v>0</v>
      </c>
      <c r="U37" s="138">
        <f>+R37*D37</f>
        <v>-5839.5599999999995</v>
      </c>
      <c r="V37" s="136">
        <f>IF(P37&gt;30,200+S37,100+S37)</f>
        <v>121</v>
      </c>
      <c r="Y37" s="138"/>
    </row>
    <row r="38" spans="1:25" s="135" customFormat="1" ht="15">
      <c r="A38" s="147" t="s">
        <v>339</v>
      </c>
      <c r="B38" s="148">
        <v>43034</v>
      </c>
      <c r="C38" s="149" t="s">
        <v>601</v>
      </c>
      <c r="D38" s="150">
        <v>12.86</v>
      </c>
      <c r="E38" s="139"/>
      <c r="F38" s="141"/>
      <c r="K38" s="151">
        <v>43048</v>
      </c>
      <c r="L38" s="134"/>
      <c r="M38" s="143">
        <v>43053</v>
      </c>
      <c r="N38" s="134">
        <f>+M38</f>
        <v>43053</v>
      </c>
      <c r="O38" s="137">
        <f t="shared" si="0"/>
        <v>5</v>
      </c>
      <c r="P38" s="137">
        <f>+N38-M38</f>
        <v>0</v>
      </c>
      <c r="Q38" s="137">
        <f>+N38-K38</f>
        <v>5</v>
      </c>
      <c r="R38" s="137">
        <f>+Q38-30</f>
        <v>-25</v>
      </c>
      <c r="S38" s="136">
        <v>29</v>
      </c>
      <c r="T38" s="138">
        <f>+P38*D38</f>
        <v>0</v>
      </c>
      <c r="U38" s="138">
        <f>+R38*D38</f>
        <v>-321.5</v>
      </c>
      <c r="V38" s="136">
        <f>IF(P38&gt;30,200+S38,100+S38)</f>
        <v>129</v>
      </c>
      <c r="Y38" s="138"/>
    </row>
    <row r="39" spans="1:25" s="135" customFormat="1" ht="15">
      <c r="A39" s="147" t="s">
        <v>338</v>
      </c>
      <c r="B39" s="148">
        <v>43039</v>
      </c>
      <c r="C39" s="149" t="s">
        <v>600</v>
      </c>
      <c r="D39" s="150">
        <v>240.2</v>
      </c>
      <c r="E39" s="139"/>
      <c r="F39" s="141"/>
      <c r="K39" s="151">
        <v>43048</v>
      </c>
      <c r="L39" s="134"/>
      <c r="M39" s="143">
        <v>43053</v>
      </c>
      <c r="N39" s="134">
        <f>+M39</f>
        <v>43053</v>
      </c>
      <c r="O39" s="137">
        <f t="shared" si="0"/>
        <v>5</v>
      </c>
      <c r="P39" s="137">
        <f>+N39-M39</f>
        <v>0</v>
      </c>
      <c r="Q39" s="137">
        <f>+N39-K39</f>
        <v>5</v>
      </c>
      <c r="R39" s="137">
        <f>+Q39-30</f>
        <v>-25</v>
      </c>
      <c r="S39" s="136">
        <v>29</v>
      </c>
      <c r="T39" s="138">
        <f>+P39*D39</f>
        <v>0</v>
      </c>
      <c r="U39" s="138">
        <f>+R39*D39</f>
        <v>-6005</v>
      </c>
      <c r="V39" s="136">
        <f>IF(P39&gt;30,200+S39,100+S39)</f>
        <v>129</v>
      </c>
      <c r="Y39" s="138"/>
    </row>
    <row r="40" spans="1:25" s="136" customFormat="1" ht="15">
      <c r="A40" s="147" t="s">
        <v>337</v>
      </c>
      <c r="B40" s="148">
        <v>43039</v>
      </c>
      <c r="C40" s="149" t="s">
        <v>599</v>
      </c>
      <c r="D40" s="150">
        <v>159.59</v>
      </c>
      <c r="E40" s="139"/>
      <c r="F40" s="142"/>
      <c r="K40" s="151">
        <v>43053</v>
      </c>
      <c r="L40" s="145"/>
      <c r="M40" s="144">
        <v>43070</v>
      </c>
      <c r="N40" s="134">
        <f>+M40</f>
        <v>43070</v>
      </c>
      <c r="O40" s="137">
        <f t="shared" si="0"/>
        <v>17</v>
      </c>
      <c r="P40" s="137">
        <f>+N40-M40</f>
        <v>0</v>
      </c>
      <c r="Q40" s="137">
        <f>+N40-K40</f>
        <v>17</v>
      </c>
      <c r="R40" s="137">
        <f>+Q40-30</f>
        <v>-13</v>
      </c>
      <c r="S40" s="136">
        <v>22</v>
      </c>
      <c r="T40" s="138">
        <f>+P40*D40</f>
        <v>0</v>
      </c>
      <c r="U40" s="138">
        <f>+R40*D40</f>
        <v>-2074.67</v>
      </c>
      <c r="V40" s="136">
        <f>IF(P40&gt;30,200+S40,100+S40)</f>
        <v>122</v>
      </c>
      <c r="Y40" s="146"/>
    </row>
    <row r="41" spans="1:25" s="136" customFormat="1" ht="15">
      <c r="A41" s="147" t="s">
        <v>336</v>
      </c>
      <c r="B41" s="148">
        <v>43044</v>
      </c>
      <c r="C41" s="149" t="s">
        <v>598</v>
      </c>
      <c r="D41" s="150">
        <v>88.41</v>
      </c>
      <c r="E41" s="139"/>
      <c r="F41" s="142"/>
      <c r="K41" s="151">
        <v>43053</v>
      </c>
      <c r="L41" s="145"/>
      <c r="M41" s="143">
        <v>43053</v>
      </c>
      <c r="N41" s="134">
        <f>+M41</f>
        <v>43053</v>
      </c>
      <c r="O41" s="137">
        <f t="shared" si="0"/>
        <v>0</v>
      </c>
      <c r="P41" s="137">
        <f>+N41-M41</f>
        <v>0</v>
      </c>
      <c r="Q41" s="137">
        <f>+N41-K41</f>
        <v>0</v>
      </c>
      <c r="R41" s="137">
        <f>+Q41-30</f>
        <v>-30</v>
      </c>
      <c r="S41" s="136">
        <v>29</v>
      </c>
      <c r="T41" s="138">
        <f>+P41*D41</f>
        <v>0</v>
      </c>
      <c r="U41" s="138">
        <f>+R41*D41</f>
        <v>-2652.2999999999997</v>
      </c>
      <c r="V41" s="136">
        <f>IF(P41&gt;30,200+S41,100+S41)</f>
        <v>129</v>
      </c>
      <c r="Y41" s="146"/>
    </row>
    <row r="42" spans="1:25" s="136" customFormat="1" ht="15">
      <c r="A42" s="147" t="s">
        <v>335</v>
      </c>
      <c r="B42" s="148">
        <v>43009</v>
      </c>
      <c r="C42" s="149" t="s">
        <v>597</v>
      </c>
      <c r="D42" s="150">
        <v>2250</v>
      </c>
      <c r="E42" s="139"/>
      <c r="F42" s="142"/>
      <c r="K42" s="151">
        <v>43053</v>
      </c>
      <c r="L42" s="145"/>
      <c r="M42" s="143">
        <v>43053</v>
      </c>
      <c r="N42" s="134">
        <f>+M42</f>
        <v>43053</v>
      </c>
      <c r="O42" s="137">
        <f t="shared" si="0"/>
        <v>0</v>
      </c>
      <c r="P42" s="137">
        <f>+N42-M42</f>
        <v>0</v>
      </c>
      <c r="Q42" s="137">
        <f>+N42-K42</f>
        <v>0</v>
      </c>
      <c r="R42" s="137">
        <f>+Q42-30</f>
        <v>-30</v>
      </c>
      <c r="S42" s="136">
        <v>29</v>
      </c>
      <c r="T42" s="138">
        <f>+P42*D42</f>
        <v>0</v>
      </c>
      <c r="U42" s="138">
        <f>+R42*D42</f>
        <v>-67500</v>
      </c>
      <c r="V42" s="136">
        <f>IF(P42&gt;30,200+S42,100+S42)</f>
        <v>129</v>
      </c>
      <c r="Y42" s="146"/>
    </row>
    <row r="43" spans="1:25" s="136" customFormat="1" ht="15">
      <c r="A43" s="147" t="s">
        <v>334</v>
      </c>
      <c r="B43" s="148">
        <v>43045</v>
      </c>
      <c r="C43" s="149" t="s">
        <v>596</v>
      </c>
      <c r="D43" s="150">
        <v>45.38</v>
      </c>
      <c r="E43" s="139"/>
      <c r="F43" s="142"/>
      <c r="K43" s="151">
        <v>43053</v>
      </c>
      <c r="L43" s="145"/>
      <c r="M43" s="143">
        <v>43053</v>
      </c>
      <c r="N43" s="134">
        <f>+M43</f>
        <v>43053</v>
      </c>
      <c r="O43" s="137">
        <f t="shared" si="0"/>
        <v>0</v>
      </c>
      <c r="P43" s="137">
        <f>+N43-M43</f>
        <v>0</v>
      </c>
      <c r="Q43" s="137">
        <f>+N43-K43</f>
        <v>0</v>
      </c>
      <c r="R43" s="137">
        <f>+Q43-30</f>
        <v>-30</v>
      </c>
      <c r="S43" s="136">
        <v>29</v>
      </c>
      <c r="T43" s="138">
        <f>+P43*D43</f>
        <v>0</v>
      </c>
      <c r="U43" s="138">
        <f>+R43*D43</f>
        <v>-1361.4</v>
      </c>
      <c r="V43" s="136">
        <f>IF(P43&gt;30,200+S43,100+S43)</f>
        <v>129</v>
      </c>
      <c r="Y43" s="146"/>
    </row>
    <row r="44" spans="1:25" s="136" customFormat="1" ht="15">
      <c r="A44" s="147" t="s">
        <v>333</v>
      </c>
      <c r="B44" s="148">
        <v>43039</v>
      </c>
      <c r="C44" s="149" t="s">
        <v>595</v>
      </c>
      <c r="D44" s="150">
        <v>107.69</v>
      </c>
      <c r="E44" s="139"/>
      <c r="F44" s="142"/>
      <c r="K44" s="151">
        <v>43053</v>
      </c>
      <c r="L44" s="145"/>
      <c r="M44" s="143">
        <v>43053</v>
      </c>
      <c r="N44" s="134">
        <f>+M44</f>
        <v>43053</v>
      </c>
      <c r="O44" s="137">
        <f t="shared" si="0"/>
        <v>0</v>
      </c>
      <c r="P44" s="137">
        <f>+N44-M44</f>
        <v>0</v>
      </c>
      <c r="Q44" s="137">
        <f>+N44-K44</f>
        <v>0</v>
      </c>
      <c r="R44" s="137">
        <f>+Q44-30</f>
        <v>-30</v>
      </c>
      <c r="S44" s="136">
        <v>29</v>
      </c>
      <c r="T44" s="138">
        <f>+P44*D44</f>
        <v>0</v>
      </c>
      <c r="U44" s="138">
        <f>+R44*D44</f>
        <v>-3230.7</v>
      </c>
      <c r="V44" s="136">
        <f>IF(P44&gt;30,200+S44,100+S44)</f>
        <v>129</v>
      </c>
      <c r="Y44" s="146"/>
    </row>
    <row r="45" spans="1:25" s="135" customFormat="1" ht="15">
      <c r="A45" s="147" t="s">
        <v>332</v>
      </c>
      <c r="B45" s="148">
        <v>43047</v>
      </c>
      <c r="C45" s="149" t="s">
        <v>594</v>
      </c>
      <c r="D45" s="150">
        <v>6916.87</v>
      </c>
      <c r="E45" s="139"/>
      <c r="F45" s="141"/>
      <c r="K45" s="151">
        <v>43053</v>
      </c>
      <c r="L45" s="134"/>
      <c r="M45" s="143">
        <v>43049</v>
      </c>
      <c r="N45" s="134">
        <f>+M45</f>
        <v>43049</v>
      </c>
      <c r="O45" s="137">
        <f t="shared" si="0"/>
        <v>-4</v>
      </c>
      <c r="P45" s="137">
        <f>+N45-M45</f>
        <v>0</v>
      </c>
      <c r="Q45" s="137">
        <f>+N45-K45</f>
        <v>-4</v>
      </c>
      <c r="R45" s="137">
        <f>+Q45-30</f>
        <v>-34</v>
      </c>
      <c r="S45" s="136">
        <v>29</v>
      </c>
      <c r="T45" s="138">
        <f>+P45*D45</f>
        <v>0</v>
      </c>
      <c r="U45" s="138">
        <f>+R45*D45</f>
        <v>-235173.58</v>
      </c>
      <c r="V45" s="136">
        <f>IF(P45&gt;30,200+S45,100+S45)</f>
        <v>129</v>
      </c>
      <c r="Y45" s="138"/>
    </row>
    <row r="46" spans="1:25" s="135" customFormat="1" ht="15">
      <c r="A46" s="147" t="s">
        <v>331</v>
      </c>
      <c r="B46" s="148">
        <v>43047</v>
      </c>
      <c r="C46" s="149" t="s">
        <v>593</v>
      </c>
      <c r="D46" s="150">
        <v>3011.09</v>
      </c>
      <c r="E46" s="139"/>
      <c r="F46" s="141"/>
      <c r="K46" s="151">
        <v>43053</v>
      </c>
      <c r="L46" s="134"/>
      <c r="M46" s="143">
        <v>43053</v>
      </c>
      <c r="N46" s="134">
        <f>+M46</f>
        <v>43053</v>
      </c>
      <c r="O46" s="137">
        <f t="shared" si="0"/>
        <v>0</v>
      </c>
      <c r="P46" s="137">
        <f>+N46-M46</f>
        <v>0</v>
      </c>
      <c r="Q46" s="137">
        <f>+N46-K46</f>
        <v>0</v>
      </c>
      <c r="R46" s="137">
        <f>+Q46-30</f>
        <v>-30</v>
      </c>
      <c r="S46" s="136">
        <v>29</v>
      </c>
      <c r="T46" s="138">
        <f>+P46*D46</f>
        <v>0</v>
      </c>
      <c r="U46" s="138">
        <f>+R46*D46</f>
        <v>-90332.70000000001</v>
      </c>
      <c r="V46" s="136">
        <f>IF(P46&gt;30,200+S46,100+S46)</f>
        <v>129</v>
      </c>
      <c r="Y46" s="138"/>
    </row>
    <row r="47" spans="1:25" s="136" customFormat="1" ht="15">
      <c r="A47" s="147" t="s">
        <v>330</v>
      </c>
      <c r="B47" s="148">
        <v>43046</v>
      </c>
      <c r="C47" s="149" t="s">
        <v>592</v>
      </c>
      <c r="D47" s="150">
        <v>150</v>
      </c>
      <c r="E47" s="139"/>
      <c r="F47" s="142"/>
      <c r="K47" s="151">
        <v>43054</v>
      </c>
      <c r="L47" s="145"/>
      <c r="M47" s="143">
        <v>43054</v>
      </c>
      <c r="N47" s="134">
        <f>+M47</f>
        <v>43054</v>
      </c>
      <c r="O47" s="137">
        <f>+M47-K47</f>
        <v>0</v>
      </c>
      <c r="P47" s="137">
        <f>+N47-M47</f>
        <v>0</v>
      </c>
      <c r="Q47" s="137">
        <f>+N47-K47</f>
        <v>0</v>
      </c>
      <c r="R47" s="137">
        <f>+Q47-30</f>
        <v>-30</v>
      </c>
      <c r="S47" s="136">
        <v>29</v>
      </c>
      <c r="T47" s="138">
        <f>+P47*D47</f>
        <v>0</v>
      </c>
      <c r="U47" s="138">
        <f>+R47*D47</f>
        <v>-4500</v>
      </c>
      <c r="V47" s="136">
        <f>IF(P47&gt;30,200+S47,100+S47)</f>
        <v>129</v>
      </c>
      <c r="Y47" s="146"/>
    </row>
    <row r="48" spans="1:25" s="136" customFormat="1" ht="15">
      <c r="A48" s="147" t="s">
        <v>329</v>
      </c>
      <c r="B48" s="148">
        <v>43052</v>
      </c>
      <c r="C48" s="149" t="s">
        <v>591</v>
      </c>
      <c r="D48" s="150">
        <v>90.75</v>
      </c>
      <c r="E48" s="139"/>
      <c r="F48" s="142"/>
      <c r="K48" s="151">
        <v>43054</v>
      </c>
      <c r="L48" s="145"/>
      <c r="M48" s="143">
        <v>43068</v>
      </c>
      <c r="N48" s="134">
        <f>+M48</f>
        <v>43068</v>
      </c>
      <c r="O48" s="137">
        <f>+M48-K48</f>
        <v>14</v>
      </c>
      <c r="P48" s="137">
        <f>+N48-M48</f>
        <v>0</v>
      </c>
      <c r="Q48" s="137">
        <f>+N48-K48</f>
        <v>14</v>
      </c>
      <c r="R48" s="137">
        <f>+Q48-30</f>
        <v>-16</v>
      </c>
      <c r="S48" s="136">
        <v>29</v>
      </c>
      <c r="T48" s="138">
        <f>+P48*D48</f>
        <v>0</v>
      </c>
      <c r="U48" s="138">
        <f>+R48*D48</f>
        <v>-1452</v>
      </c>
      <c r="V48" s="136">
        <f>IF(P48&gt;30,200+S48,100+S48)</f>
        <v>129</v>
      </c>
      <c r="Y48" s="146"/>
    </row>
    <row r="49" spans="1:25" s="135" customFormat="1" ht="15">
      <c r="A49" s="147" t="s">
        <v>328</v>
      </c>
      <c r="B49" s="148">
        <v>43039</v>
      </c>
      <c r="C49" s="149" t="s">
        <v>590</v>
      </c>
      <c r="D49" s="150">
        <v>61.6</v>
      </c>
      <c r="E49" s="139"/>
      <c r="F49" s="141"/>
      <c r="K49" s="151">
        <v>43054</v>
      </c>
      <c r="L49" s="134"/>
      <c r="M49" s="144">
        <v>43070</v>
      </c>
      <c r="N49" s="134">
        <f>+M49</f>
        <v>43070</v>
      </c>
      <c r="O49" s="137">
        <f>+M49-K49</f>
        <v>16</v>
      </c>
      <c r="P49" s="137">
        <f>+N49-M49</f>
        <v>0</v>
      </c>
      <c r="Q49" s="137">
        <f>+N49-K49</f>
        <v>16</v>
      </c>
      <c r="R49" s="137">
        <f>+Q49-30</f>
        <v>-14</v>
      </c>
      <c r="S49" s="136">
        <v>22</v>
      </c>
      <c r="T49" s="138">
        <f>+P49*D49</f>
        <v>0</v>
      </c>
      <c r="U49" s="138">
        <f>+R49*D49</f>
        <v>-862.4</v>
      </c>
      <c r="V49" s="136">
        <f>IF(P49&gt;30,200+S49,100+S49)</f>
        <v>122</v>
      </c>
      <c r="Y49" s="138"/>
    </row>
    <row r="50" spans="1:25" s="135" customFormat="1" ht="15">
      <c r="A50" s="147" t="s">
        <v>327</v>
      </c>
      <c r="B50" s="148">
        <v>43048</v>
      </c>
      <c r="C50" s="149" t="s">
        <v>589</v>
      </c>
      <c r="D50" s="150">
        <v>1500.4</v>
      </c>
      <c r="E50" s="139"/>
      <c r="F50" s="141"/>
      <c r="K50" s="151">
        <v>43059</v>
      </c>
      <c r="L50" s="134"/>
      <c r="M50" s="143">
        <v>43068</v>
      </c>
      <c r="N50" s="134">
        <f>+M50</f>
        <v>43068</v>
      </c>
      <c r="O50" s="137">
        <f>+M50-K50</f>
        <v>9</v>
      </c>
      <c r="P50" s="137">
        <f>+N50-M50</f>
        <v>0</v>
      </c>
      <c r="Q50" s="137">
        <f>+N50-K50</f>
        <v>9</v>
      </c>
      <c r="R50" s="137">
        <f>+Q50-30</f>
        <v>-21</v>
      </c>
      <c r="S50" s="136">
        <v>69</v>
      </c>
      <c r="T50" s="138">
        <f>+P50*D50</f>
        <v>0</v>
      </c>
      <c r="U50" s="138">
        <f>+R50*D50</f>
        <v>-31508.4</v>
      </c>
      <c r="V50" s="136">
        <f>IF(P50&gt;30,200+S50,100+S50)</f>
        <v>169</v>
      </c>
      <c r="Y50" s="138"/>
    </row>
    <row r="51" spans="1:25" s="135" customFormat="1" ht="15">
      <c r="A51" s="147" t="s">
        <v>326</v>
      </c>
      <c r="B51" s="148">
        <v>43009</v>
      </c>
      <c r="C51" s="149" t="s">
        <v>588</v>
      </c>
      <c r="D51" s="150">
        <v>219.37</v>
      </c>
      <c r="E51" s="139"/>
      <c r="F51" s="141"/>
      <c r="K51" s="151">
        <v>43059</v>
      </c>
      <c r="L51" s="134"/>
      <c r="M51" s="143">
        <v>43068</v>
      </c>
      <c r="N51" s="134">
        <f>+M51</f>
        <v>43068</v>
      </c>
      <c r="O51" s="137">
        <f>+M51-K51</f>
        <v>9</v>
      </c>
      <c r="P51" s="137">
        <f>+N51-M51</f>
        <v>0</v>
      </c>
      <c r="Q51" s="137">
        <f>+N51-K51</f>
        <v>9</v>
      </c>
      <c r="R51" s="137">
        <f>+Q51-30</f>
        <v>-21</v>
      </c>
      <c r="S51" s="136">
        <v>29</v>
      </c>
      <c r="T51" s="138">
        <f>+P51*D51</f>
        <v>0</v>
      </c>
      <c r="U51" s="138">
        <f>+R51*D51</f>
        <v>-4606.77</v>
      </c>
      <c r="V51" s="136">
        <f>IF(P51&gt;30,200+S51,100+S51)</f>
        <v>129</v>
      </c>
      <c r="Y51" s="138"/>
    </row>
    <row r="52" spans="1:25" s="135" customFormat="1" ht="15">
      <c r="A52" s="147" t="s">
        <v>325</v>
      </c>
      <c r="B52" s="148">
        <v>43056</v>
      </c>
      <c r="C52" s="149" t="s">
        <v>587</v>
      </c>
      <c r="D52" s="150">
        <v>1452</v>
      </c>
      <c r="E52" s="139"/>
      <c r="F52" s="141"/>
      <c r="K52" s="151">
        <v>43060</v>
      </c>
      <c r="L52" s="134"/>
      <c r="M52" s="143">
        <v>43068</v>
      </c>
      <c r="N52" s="134">
        <f>+M52</f>
        <v>43068</v>
      </c>
      <c r="O52" s="137">
        <f>+M52-K52</f>
        <v>8</v>
      </c>
      <c r="P52" s="137">
        <f>+N52-M52</f>
        <v>0</v>
      </c>
      <c r="Q52" s="137">
        <f>+N52-K52</f>
        <v>8</v>
      </c>
      <c r="R52" s="137">
        <f>+Q52-30</f>
        <v>-22</v>
      </c>
      <c r="S52" s="136">
        <v>29</v>
      </c>
      <c r="T52" s="138">
        <f>+P52*D52</f>
        <v>0</v>
      </c>
      <c r="U52" s="138">
        <f>+R52*D52</f>
        <v>-31944</v>
      </c>
      <c r="V52" s="136">
        <f>IF(P52&gt;30,200+S52,100+S52)</f>
        <v>129</v>
      </c>
      <c r="Y52" s="138"/>
    </row>
    <row r="53" spans="1:25" s="136" customFormat="1" ht="15">
      <c r="A53" s="147" t="s">
        <v>324</v>
      </c>
      <c r="B53" s="148">
        <v>43040</v>
      </c>
      <c r="C53" s="149" t="s">
        <v>586</v>
      </c>
      <c r="D53" s="150">
        <v>217.81</v>
      </c>
      <c r="E53" s="139"/>
      <c r="F53" s="142"/>
      <c r="K53" s="151">
        <v>43045</v>
      </c>
      <c r="L53" s="145"/>
      <c r="M53" s="144">
        <v>43045</v>
      </c>
      <c r="N53" s="134">
        <f>+M53</f>
        <v>43045</v>
      </c>
      <c r="O53" s="137">
        <f>+M53-K53</f>
        <v>0</v>
      </c>
      <c r="P53" s="137">
        <f>+N53-M53</f>
        <v>0</v>
      </c>
      <c r="Q53" s="137">
        <f>+N53-K53</f>
        <v>0</v>
      </c>
      <c r="R53" s="137">
        <f>+Q53-30</f>
        <v>-30</v>
      </c>
      <c r="S53" s="136">
        <v>20</v>
      </c>
      <c r="T53" s="138">
        <f>+P53*D53</f>
        <v>0</v>
      </c>
      <c r="U53" s="138">
        <f>+R53*D53</f>
        <v>-6534.3</v>
      </c>
      <c r="V53" s="136">
        <f>IF(P53&gt;30,200+S53,100+S53)</f>
        <v>120</v>
      </c>
      <c r="Y53" s="146"/>
    </row>
    <row r="54" spans="1:25" s="135" customFormat="1" ht="15">
      <c r="A54" s="147" t="s">
        <v>323</v>
      </c>
      <c r="B54" s="148">
        <v>43040</v>
      </c>
      <c r="C54" s="149" t="s">
        <v>585</v>
      </c>
      <c r="D54" s="150">
        <v>61.41</v>
      </c>
      <c r="E54" s="139"/>
      <c r="F54" s="141"/>
      <c r="K54" s="151">
        <v>43045</v>
      </c>
      <c r="L54" s="134"/>
      <c r="M54" s="144">
        <v>43045</v>
      </c>
      <c r="N54" s="134">
        <f>+M54</f>
        <v>43045</v>
      </c>
      <c r="O54" s="137">
        <f>+M54-K54</f>
        <v>0</v>
      </c>
      <c r="P54" s="137">
        <f>+N54-M54</f>
        <v>0</v>
      </c>
      <c r="Q54" s="137">
        <f>+N54-K54</f>
        <v>0</v>
      </c>
      <c r="R54" s="137">
        <f>+Q54-30</f>
        <v>-30</v>
      </c>
      <c r="S54" s="136">
        <v>20</v>
      </c>
      <c r="T54" s="138">
        <f>+P54*D54</f>
        <v>0</v>
      </c>
      <c r="U54" s="138">
        <f>+R54*D54</f>
        <v>-1842.3</v>
      </c>
      <c r="V54" s="136">
        <f>IF(P54&gt;30,200+S54,100+S54)</f>
        <v>120</v>
      </c>
      <c r="Y54" s="138"/>
    </row>
    <row r="55" spans="1:25" s="135" customFormat="1" ht="15">
      <c r="A55" s="147" t="s">
        <v>322</v>
      </c>
      <c r="B55" s="148">
        <v>43040</v>
      </c>
      <c r="C55" s="149" t="s">
        <v>584</v>
      </c>
      <c r="D55" s="150">
        <v>28.6</v>
      </c>
      <c r="E55" s="139"/>
      <c r="F55" s="141"/>
      <c r="K55" s="151">
        <v>43045</v>
      </c>
      <c r="L55" s="134"/>
      <c r="M55" s="144">
        <v>43045</v>
      </c>
      <c r="N55" s="134">
        <f>+M55</f>
        <v>43045</v>
      </c>
      <c r="O55" s="137">
        <f>+M55-K55</f>
        <v>0</v>
      </c>
      <c r="P55" s="137">
        <f>+N55-M55</f>
        <v>0</v>
      </c>
      <c r="Q55" s="137">
        <f>+N55-K55</f>
        <v>0</v>
      </c>
      <c r="R55" s="137">
        <f>+Q55-30</f>
        <v>-30</v>
      </c>
      <c r="S55" s="136">
        <v>20</v>
      </c>
      <c r="T55" s="138">
        <f>+P55*D55</f>
        <v>0</v>
      </c>
      <c r="U55" s="138">
        <f>+R55*D55</f>
        <v>-858</v>
      </c>
      <c r="V55" s="136">
        <f>IF(P55&gt;30,200+S55,100+S55)</f>
        <v>120</v>
      </c>
      <c r="Y55" s="138"/>
    </row>
    <row r="56" spans="1:25" s="135" customFormat="1" ht="15">
      <c r="A56" s="147" t="s">
        <v>321</v>
      </c>
      <c r="B56" s="148">
        <v>43027</v>
      </c>
      <c r="C56" s="149" t="s">
        <v>583</v>
      </c>
      <c r="D56" s="150">
        <v>58.4</v>
      </c>
      <c r="E56" s="139"/>
      <c r="F56" s="141"/>
      <c r="K56" s="151">
        <v>43027</v>
      </c>
      <c r="L56" s="134"/>
      <c r="M56" s="144">
        <v>43027</v>
      </c>
      <c r="N56" s="134">
        <f>+M56</f>
        <v>43027</v>
      </c>
      <c r="O56" s="137">
        <f>+M56-K56</f>
        <v>0</v>
      </c>
      <c r="P56" s="137">
        <f>+N56-M56</f>
        <v>0</v>
      </c>
      <c r="Q56" s="137">
        <f>+N56-K56</f>
        <v>0</v>
      </c>
      <c r="R56" s="137">
        <f>+Q56-30</f>
        <v>-30</v>
      </c>
      <c r="S56" s="136">
        <v>29</v>
      </c>
      <c r="T56" s="138">
        <f>+P56*D56</f>
        <v>0</v>
      </c>
      <c r="U56" s="138">
        <f>+R56*D56</f>
        <v>-1752</v>
      </c>
      <c r="V56" s="136">
        <f>IF(P56&gt;30,200+S56,100+S56)</f>
        <v>129</v>
      </c>
      <c r="Y56" s="138"/>
    </row>
    <row r="57" spans="1:25" s="135" customFormat="1" ht="15">
      <c r="A57" s="147" t="s">
        <v>320</v>
      </c>
      <c r="B57" s="148">
        <v>43024</v>
      </c>
      <c r="C57" s="149" t="s">
        <v>582</v>
      </c>
      <c r="D57" s="150">
        <v>-423.51</v>
      </c>
      <c r="E57" s="139"/>
      <c r="F57" s="141"/>
      <c r="K57" s="151">
        <v>43040</v>
      </c>
      <c r="L57" s="134"/>
      <c r="M57" s="144">
        <v>43040</v>
      </c>
      <c r="N57" s="134">
        <f>+M57</f>
        <v>43040</v>
      </c>
      <c r="O57" s="137">
        <f>+M57-K57</f>
        <v>0</v>
      </c>
      <c r="P57" s="137">
        <f>+N57-M57</f>
        <v>0</v>
      </c>
      <c r="Q57" s="137">
        <f>+N57-K57</f>
        <v>0</v>
      </c>
      <c r="R57" s="137">
        <f>+Q57-30</f>
        <v>-30</v>
      </c>
      <c r="S57" s="136">
        <v>21</v>
      </c>
      <c r="T57" s="138">
        <f>+P57*D57</f>
        <v>0</v>
      </c>
      <c r="U57" s="138">
        <f>+R57*D57</f>
        <v>12705.3</v>
      </c>
      <c r="V57" s="136">
        <f>IF(P57&gt;30,200+S57,100+S57)</f>
        <v>121</v>
      </c>
      <c r="Y57" s="138"/>
    </row>
    <row r="58" spans="1:25" s="135" customFormat="1" ht="15">
      <c r="A58" s="147" t="s">
        <v>319</v>
      </c>
      <c r="B58" s="148">
        <v>43028</v>
      </c>
      <c r="C58" s="149" t="s">
        <v>581</v>
      </c>
      <c r="D58" s="150">
        <v>14123.32</v>
      </c>
      <c r="E58" s="139"/>
      <c r="F58" s="141"/>
      <c r="K58" s="151">
        <v>43062</v>
      </c>
      <c r="L58" s="134"/>
      <c r="M58" s="143">
        <v>43068</v>
      </c>
      <c r="N58" s="134">
        <f>+M58</f>
        <v>43068</v>
      </c>
      <c r="O58" s="137">
        <f>+M58-K58</f>
        <v>6</v>
      </c>
      <c r="P58" s="137">
        <f>+N58-M58</f>
        <v>0</v>
      </c>
      <c r="Q58" s="137">
        <f>+N58-K58</f>
        <v>6</v>
      </c>
      <c r="R58" s="137">
        <f>+Q58-30</f>
        <v>-24</v>
      </c>
      <c r="S58" s="136">
        <v>69</v>
      </c>
      <c r="T58" s="138">
        <f>+P58*D58</f>
        <v>0</v>
      </c>
      <c r="U58" s="138">
        <f>+R58*D58</f>
        <v>-338959.68</v>
      </c>
      <c r="V58" s="136">
        <f>IF(P58&gt;30,200+S58,100+S58)</f>
        <v>169</v>
      </c>
      <c r="Y58" s="138"/>
    </row>
    <row r="59" spans="1:25" s="135" customFormat="1" ht="15">
      <c r="A59" s="147" t="s">
        <v>318</v>
      </c>
      <c r="B59" s="148">
        <v>43060</v>
      </c>
      <c r="C59" s="149" t="s">
        <v>580</v>
      </c>
      <c r="D59" s="150">
        <v>14571.91</v>
      </c>
      <c r="E59" s="139"/>
      <c r="F59" s="141"/>
      <c r="K59" s="151">
        <v>43066</v>
      </c>
      <c r="L59" s="134"/>
      <c r="M59" s="143">
        <v>43068</v>
      </c>
      <c r="N59" s="134">
        <f>+M59</f>
        <v>43068</v>
      </c>
      <c r="O59" s="137">
        <f>+M59-K59</f>
        <v>2</v>
      </c>
      <c r="P59" s="137">
        <f>+N59-M59</f>
        <v>0</v>
      </c>
      <c r="Q59" s="137">
        <f>+N59-K59</f>
        <v>2</v>
      </c>
      <c r="R59" s="137">
        <f>+Q59-30</f>
        <v>-28</v>
      </c>
      <c r="S59" s="136">
        <v>29</v>
      </c>
      <c r="T59" s="138">
        <f>+P59*D59</f>
        <v>0</v>
      </c>
      <c r="U59" s="138">
        <f>+R59*D59</f>
        <v>-408013.48</v>
      </c>
      <c r="V59" s="136">
        <f>IF(P59&gt;30,200+S59,100+S59)</f>
        <v>129</v>
      </c>
      <c r="Y59" s="138"/>
    </row>
    <row r="60" spans="1:25" s="135" customFormat="1" ht="15">
      <c r="A60" s="147" t="s">
        <v>317</v>
      </c>
      <c r="B60" s="148">
        <v>43040</v>
      </c>
      <c r="C60" s="149" t="s">
        <v>579</v>
      </c>
      <c r="D60" s="150">
        <v>56.86</v>
      </c>
      <c r="E60" s="139"/>
      <c r="F60" s="141"/>
      <c r="K60" s="151">
        <v>43041</v>
      </c>
      <c r="L60" s="134"/>
      <c r="M60" s="144">
        <v>43041</v>
      </c>
      <c r="N60" s="134">
        <f>+M60</f>
        <v>43041</v>
      </c>
      <c r="O60" s="137">
        <f>+M60-K60</f>
        <v>0</v>
      </c>
      <c r="P60" s="137">
        <f>+N60-M60</f>
        <v>0</v>
      </c>
      <c r="Q60" s="137">
        <f>+N60-K60</f>
        <v>0</v>
      </c>
      <c r="R60" s="137">
        <f>+Q60-30</f>
        <v>-30</v>
      </c>
      <c r="S60" s="136">
        <v>21</v>
      </c>
      <c r="T60" s="138">
        <f>+P60*D60</f>
        <v>0</v>
      </c>
      <c r="U60" s="138">
        <f>+R60*D60</f>
        <v>-1705.8</v>
      </c>
      <c r="V60" s="136">
        <f>IF(P60&gt;30,200+S60,100+S60)</f>
        <v>121</v>
      </c>
      <c r="Y60" s="138"/>
    </row>
    <row r="61" spans="1:25" s="135" customFormat="1" ht="15">
      <c r="A61" s="147" t="s">
        <v>316</v>
      </c>
      <c r="B61" s="148">
        <v>43039</v>
      </c>
      <c r="C61" s="149" t="s">
        <v>578</v>
      </c>
      <c r="D61" s="150">
        <v>222.04</v>
      </c>
      <c r="E61" s="139"/>
      <c r="F61" s="141"/>
      <c r="K61" s="151">
        <v>43039</v>
      </c>
      <c r="L61" s="134"/>
      <c r="M61" s="144">
        <v>43039</v>
      </c>
      <c r="N61" s="134">
        <f>+M61</f>
        <v>43039</v>
      </c>
      <c r="O61" s="137">
        <f>+M61-K61</f>
        <v>0</v>
      </c>
      <c r="P61" s="137">
        <f>+N61-M61</f>
        <v>0</v>
      </c>
      <c r="Q61" s="137">
        <f>+N61-K61</f>
        <v>0</v>
      </c>
      <c r="R61" s="137">
        <f>+Q61-30</f>
        <v>-30</v>
      </c>
      <c r="S61" s="136">
        <v>29</v>
      </c>
      <c r="T61" s="138">
        <f>+P61*D61</f>
        <v>0</v>
      </c>
      <c r="U61" s="138">
        <f>+R61*D61</f>
        <v>-6661.2</v>
      </c>
      <c r="V61" s="136">
        <f>IF(P61&gt;30,200+S61,100+S61)</f>
        <v>129</v>
      </c>
      <c r="Y61" s="138"/>
    </row>
    <row r="62" spans="1:25" s="135" customFormat="1" ht="15">
      <c r="A62" s="147" t="s">
        <v>315</v>
      </c>
      <c r="B62" s="148">
        <v>43039</v>
      </c>
      <c r="C62" s="149" t="s">
        <v>577</v>
      </c>
      <c r="D62" s="150">
        <v>1352.83</v>
      </c>
      <c r="E62" s="139"/>
      <c r="F62" s="141"/>
      <c r="K62" s="151">
        <v>43066</v>
      </c>
      <c r="L62" s="134"/>
      <c r="M62" s="143">
        <v>43068</v>
      </c>
      <c r="N62" s="134">
        <f>+M62</f>
        <v>43068</v>
      </c>
      <c r="O62" s="137">
        <f>+M62-K62</f>
        <v>2</v>
      </c>
      <c r="P62" s="137">
        <f>+N62-M62</f>
        <v>0</v>
      </c>
      <c r="Q62" s="137">
        <f>+N62-K62</f>
        <v>2</v>
      </c>
      <c r="R62" s="137">
        <f>+Q62-30</f>
        <v>-28</v>
      </c>
      <c r="S62" s="136">
        <v>29</v>
      </c>
      <c r="T62" s="138">
        <f>+P62*D62</f>
        <v>0</v>
      </c>
      <c r="U62" s="138">
        <f>+R62*D62</f>
        <v>-37879.24</v>
      </c>
      <c r="V62" s="136">
        <f>IF(P62&gt;30,200+S62,100+S62)</f>
        <v>129</v>
      </c>
      <c r="Y62" s="138"/>
    </row>
    <row r="63" spans="1:25" s="135" customFormat="1" ht="15">
      <c r="A63" s="147" t="s">
        <v>314</v>
      </c>
      <c r="B63" s="148">
        <v>43060</v>
      </c>
      <c r="C63" s="149" t="s">
        <v>576</v>
      </c>
      <c r="D63" s="150">
        <v>1106.87</v>
      </c>
      <c r="E63" s="139"/>
      <c r="F63" s="141"/>
      <c r="K63" s="151">
        <v>43066</v>
      </c>
      <c r="L63" s="134"/>
      <c r="M63" s="143">
        <v>43068</v>
      </c>
      <c r="N63" s="134">
        <f>+M63</f>
        <v>43068</v>
      </c>
      <c r="O63" s="137">
        <f>+M63-K63</f>
        <v>2</v>
      </c>
      <c r="P63" s="137">
        <f>+N63-M63</f>
        <v>0</v>
      </c>
      <c r="Q63" s="137">
        <f>+N63-K63</f>
        <v>2</v>
      </c>
      <c r="R63" s="137">
        <f>+Q63-30</f>
        <v>-28</v>
      </c>
      <c r="S63" s="136">
        <v>29</v>
      </c>
      <c r="T63" s="138">
        <f>+P63*D63</f>
        <v>0</v>
      </c>
      <c r="U63" s="138">
        <f>+R63*D63</f>
        <v>-30992.359999999997</v>
      </c>
      <c r="V63" s="136">
        <f>IF(P63&gt;30,200+S63,100+S63)</f>
        <v>129</v>
      </c>
      <c r="Y63" s="138"/>
    </row>
    <row r="64" spans="1:25" s="136" customFormat="1" ht="15">
      <c r="A64" s="147" t="s">
        <v>313</v>
      </c>
      <c r="B64" s="148">
        <v>43012</v>
      </c>
      <c r="C64" s="149" t="s">
        <v>575</v>
      </c>
      <c r="D64" s="150">
        <v>2275.6</v>
      </c>
      <c r="E64" s="139"/>
      <c r="F64" s="142"/>
      <c r="K64" s="151">
        <v>43066</v>
      </c>
      <c r="L64" s="145"/>
      <c r="M64" s="143">
        <v>43068</v>
      </c>
      <c r="N64" s="134">
        <f>+M64</f>
        <v>43068</v>
      </c>
      <c r="O64" s="137">
        <f>+M64-K64</f>
        <v>2</v>
      </c>
      <c r="P64" s="137">
        <f>+N64-M64</f>
        <v>0</v>
      </c>
      <c r="Q64" s="137">
        <f>+N64-K64</f>
        <v>2</v>
      </c>
      <c r="R64" s="137">
        <f>+Q64-30</f>
        <v>-28</v>
      </c>
      <c r="S64" s="136">
        <v>29</v>
      </c>
      <c r="T64" s="138">
        <f>+P64*D64</f>
        <v>0</v>
      </c>
      <c r="U64" s="138">
        <f>+R64*D64</f>
        <v>-63716.799999999996</v>
      </c>
      <c r="V64" s="136">
        <f>IF(P64&gt;30,200+S64,100+S64)</f>
        <v>129</v>
      </c>
      <c r="Y64" s="146"/>
    </row>
    <row r="65" spans="1:25" s="136" customFormat="1" ht="15">
      <c r="A65" s="147" t="s">
        <v>312</v>
      </c>
      <c r="B65" s="148">
        <v>43041</v>
      </c>
      <c r="C65" s="149" t="s">
        <v>574</v>
      </c>
      <c r="D65" s="150">
        <v>5043.28</v>
      </c>
      <c r="E65" s="139"/>
      <c r="F65" s="142"/>
      <c r="K65" s="151">
        <v>43066</v>
      </c>
      <c r="L65" s="145"/>
      <c r="M65" s="143">
        <v>43068</v>
      </c>
      <c r="N65" s="134">
        <f>+M65</f>
        <v>43068</v>
      </c>
      <c r="O65" s="137">
        <f>+M65-K65</f>
        <v>2</v>
      </c>
      <c r="P65" s="137">
        <f>+N65-M65</f>
        <v>0</v>
      </c>
      <c r="Q65" s="137">
        <f>+N65-K65</f>
        <v>2</v>
      </c>
      <c r="R65" s="137">
        <f>+Q65-30</f>
        <v>-28</v>
      </c>
      <c r="S65" s="136">
        <v>69</v>
      </c>
      <c r="T65" s="138">
        <f>+P65*D65</f>
        <v>0</v>
      </c>
      <c r="U65" s="138">
        <f>+R65*D65</f>
        <v>-141211.84</v>
      </c>
      <c r="V65" s="136">
        <f>IF(P65&gt;30,200+S65,100+S65)</f>
        <v>169</v>
      </c>
      <c r="Y65" s="146"/>
    </row>
    <row r="66" spans="1:25" s="136" customFormat="1" ht="15">
      <c r="A66" s="147" t="s">
        <v>310</v>
      </c>
      <c r="B66" s="148">
        <v>43039</v>
      </c>
      <c r="C66" s="149" t="s">
        <v>572</v>
      </c>
      <c r="D66" s="150">
        <v>200</v>
      </c>
      <c r="E66" s="139"/>
      <c r="F66" s="142"/>
      <c r="K66" s="151">
        <v>43067</v>
      </c>
      <c r="L66" s="145"/>
      <c r="M66" s="143">
        <v>43068</v>
      </c>
      <c r="N66" s="145">
        <f>+M66</f>
        <v>43068</v>
      </c>
      <c r="O66" s="137">
        <f>+M66-K66</f>
        <v>1</v>
      </c>
      <c r="P66" s="137">
        <f>+N66-M66</f>
        <v>0</v>
      </c>
      <c r="Q66" s="137">
        <f>+N66-K66</f>
        <v>1</v>
      </c>
      <c r="R66" s="137">
        <f>+Q66-30</f>
        <v>-29</v>
      </c>
      <c r="S66" s="136">
        <v>29</v>
      </c>
      <c r="T66" s="138">
        <f>+P66*D66</f>
        <v>0</v>
      </c>
      <c r="U66" s="138">
        <f>+R66*D66</f>
        <v>-5800</v>
      </c>
      <c r="V66" s="136">
        <f>IF(P66&gt;30,200+S66,100+S66)</f>
        <v>129</v>
      </c>
      <c r="Y66" s="146"/>
    </row>
    <row r="67" spans="1:25" s="136" customFormat="1" ht="15">
      <c r="A67" s="147" t="s">
        <v>309</v>
      </c>
      <c r="B67" s="148">
        <v>43033</v>
      </c>
      <c r="C67" s="149" t="s">
        <v>571</v>
      </c>
      <c r="D67" s="150">
        <v>8.53</v>
      </c>
      <c r="E67" s="139"/>
      <c r="F67" s="142"/>
      <c r="K67" s="151">
        <v>43066</v>
      </c>
      <c r="L67" s="145"/>
      <c r="M67" s="144">
        <v>43066</v>
      </c>
      <c r="N67" s="145">
        <f>+M67</f>
        <v>43066</v>
      </c>
      <c r="O67" s="137">
        <f>+M67-K67</f>
        <v>0</v>
      </c>
      <c r="P67" s="137">
        <f>+N67-M67</f>
        <v>0</v>
      </c>
      <c r="Q67" s="137">
        <f>+N67-K67</f>
        <v>0</v>
      </c>
      <c r="R67" s="137">
        <f>+Q67-30</f>
        <v>-30</v>
      </c>
      <c r="S67" s="136">
        <v>21</v>
      </c>
      <c r="T67" s="138">
        <f>+P67*D67</f>
        <v>0</v>
      </c>
      <c r="U67" s="138">
        <f>+R67*D67</f>
        <v>-255.89999999999998</v>
      </c>
      <c r="V67" s="136">
        <f>IF(P67&gt;30,200+S67,100+S67)</f>
        <v>121</v>
      </c>
      <c r="Y67" s="146"/>
    </row>
    <row r="68" spans="1:25" s="136" customFormat="1" ht="15">
      <c r="A68" s="147" t="s">
        <v>308</v>
      </c>
      <c r="B68" s="148">
        <v>43029</v>
      </c>
      <c r="C68" s="149" t="s">
        <v>570</v>
      </c>
      <c r="D68" s="150">
        <v>5000</v>
      </c>
      <c r="E68" s="139"/>
      <c r="F68" s="142"/>
      <c r="K68" s="151">
        <v>43067</v>
      </c>
      <c r="L68" s="145"/>
      <c r="M68" s="143">
        <v>43068</v>
      </c>
      <c r="N68" s="145">
        <f>+M68</f>
        <v>43068</v>
      </c>
      <c r="O68" s="137">
        <f>+M68-K68</f>
        <v>1</v>
      </c>
      <c r="P68" s="137">
        <f>+N68-M68</f>
        <v>0</v>
      </c>
      <c r="Q68" s="137">
        <f>+N68-K68</f>
        <v>1</v>
      </c>
      <c r="R68" s="137">
        <f>+Q68-30</f>
        <v>-29</v>
      </c>
      <c r="S68" s="136">
        <v>29</v>
      </c>
      <c r="T68" s="138">
        <f>+P68*D68</f>
        <v>0</v>
      </c>
      <c r="U68" s="138">
        <f>+R68*D68</f>
        <v>-145000</v>
      </c>
      <c r="V68" s="136">
        <f>IF(P68&gt;30,200+S68,100+S68)</f>
        <v>129</v>
      </c>
      <c r="Y68" s="146"/>
    </row>
    <row r="69" spans="1:25" s="136" customFormat="1" ht="15">
      <c r="A69" s="147" t="s">
        <v>307</v>
      </c>
      <c r="B69" s="148">
        <v>43029</v>
      </c>
      <c r="C69" s="149" t="s">
        <v>569</v>
      </c>
      <c r="D69" s="150">
        <v>5000</v>
      </c>
      <c r="E69" s="139"/>
      <c r="F69" s="142"/>
      <c r="K69" s="151">
        <v>43067</v>
      </c>
      <c r="L69" s="145"/>
      <c r="M69" s="143">
        <v>43068</v>
      </c>
      <c r="N69" s="145">
        <f>+M69</f>
        <v>43068</v>
      </c>
      <c r="O69" s="137">
        <f>+M69-K69</f>
        <v>1</v>
      </c>
      <c r="P69" s="137">
        <f>+N69-M69</f>
        <v>0</v>
      </c>
      <c r="Q69" s="137">
        <f>+N69-K69</f>
        <v>1</v>
      </c>
      <c r="R69" s="137">
        <f>+Q69-30</f>
        <v>-29</v>
      </c>
      <c r="S69" s="136">
        <v>29</v>
      </c>
      <c r="T69" s="138">
        <f>+P69*D69</f>
        <v>0</v>
      </c>
      <c r="U69" s="138">
        <f>+R69*D69</f>
        <v>-145000</v>
      </c>
      <c r="V69" s="136">
        <f>IF(P69&gt;30,200+S69,100+S69)</f>
        <v>129</v>
      </c>
      <c r="Y69" s="146"/>
    </row>
    <row r="70" spans="1:25" s="136" customFormat="1" ht="15">
      <c r="A70" s="147" t="s">
        <v>306</v>
      </c>
      <c r="B70" s="148">
        <v>43029</v>
      </c>
      <c r="C70" s="149" t="s">
        <v>568</v>
      </c>
      <c r="D70" s="150">
        <v>3000.01</v>
      </c>
      <c r="E70" s="139"/>
      <c r="F70" s="142"/>
      <c r="K70" s="151">
        <v>43067</v>
      </c>
      <c r="L70" s="145"/>
      <c r="M70" s="143">
        <v>43068</v>
      </c>
      <c r="N70" s="145">
        <f>+M70</f>
        <v>43068</v>
      </c>
      <c r="O70" s="137">
        <f>+M70-K70</f>
        <v>1</v>
      </c>
      <c r="P70" s="137">
        <f>+N70-M70</f>
        <v>0</v>
      </c>
      <c r="Q70" s="137">
        <f>+N70-K70</f>
        <v>1</v>
      </c>
      <c r="R70" s="137">
        <f>+Q70-30</f>
        <v>-29</v>
      </c>
      <c r="S70" s="136">
        <v>29</v>
      </c>
      <c r="T70" s="138">
        <f>+P70*D70</f>
        <v>0</v>
      </c>
      <c r="U70" s="138">
        <f>+R70*D70</f>
        <v>-87000.29000000001</v>
      </c>
      <c r="V70" s="136">
        <f>IF(P70&gt;30,200+S70,100+S70)</f>
        <v>129</v>
      </c>
      <c r="Y70" s="146"/>
    </row>
    <row r="71" spans="1:25" s="136" customFormat="1" ht="15">
      <c r="A71" s="147" t="s">
        <v>305</v>
      </c>
      <c r="B71" s="148">
        <v>43028</v>
      </c>
      <c r="C71" s="149" t="s">
        <v>567</v>
      </c>
      <c r="D71" s="150">
        <v>2937.21</v>
      </c>
      <c r="E71" s="139"/>
      <c r="F71" s="142"/>
      <c r="K71" s="151">
        <v>43067</v>
      </c>
      <c r="L71" s="145"/>
      <c r="M71" s="143">
        <v>43068</v>
      </c>
      <c r="N71" s="145">
        <f>+M71</f>
        <v>43068</v>
      </c>
      <c r="O71" s="137">
        <f>+M71-K71</f>
        <v>1</v>
      </c>
      <c r="P71" s="137">
        <f>+N71-M71</f>
        <v>0</v>
      </c>
      <c r="Q71" s="137">
        <f>+N71-K71</f>
        <v>1</v>
      </c>
      <c r="R71" s="137">
        <f>+Q71-30</f>
        <v>-29</v>
      </c>
      <c r="S71" s="136">
        <v>29</v>
      </c>
      <c r="T71" s="138">
        <f>+P71*D71</f>
        <v>0</v>
      </c>
      <c r="U71" s="138">
        <f>+R71*D71</f>
        <v>-85179.09</v>
      </c>
      <c r="V71" s="136">
        <f>IF(P71&gt;30,200+S71,100+S71)</f>
        <v>129</v>
      </c>
      <c r="Y71" s="146"/>
    </row>
    <row r="72" spans="1:25" s="135" customFormat="1" ht="15">
      <c r="A72" s="147" t="s">
        <v>304</v>
      </c>
      <c r="B72" s="148">
        <v>43060</v>
      </c>
      <c r="C72" s="149" t="s">
        <v>566</v>
      </c>
      <c r="D72" s="150">
        <v>-0.91</v>
      </c>
      <c r="E72" s="139"/>
      <c r="F72" s="141"/>
      <c r="K72" s="151">
        <v>43067</v>
      </c>
      <c r="L72" s="134"/>
      <c r="M72" s="144">
        <v>43068</v>
      </c>
      <c r="N72" s="145">
        <f>+M72</f>
        <v>43068</v>
      </c>
      <c r="O72" s="137">
        <f>+M72-K72</f>
        <v>1</v>
      </c>
      <c r="P72" s="137">
        <f>+N72-M72</f>
        <v>0</v>
      </c>
      <c r="Q72" s="137">
        <f>+N72-K72</f>
        <v>1</v>
      </c>
      <c r="R72" s="137">
        <f>+Q72-30</f>
        <v>-29</v>
      </c>
      <c r="S72" s="136">
        <v>22</v>
      </c>
      <c r="T72" s="138">
        <f>+P72*D72</f>
        <v>0</v>
      </c>
      <c r="U72" s="138">
        <f>+R72*D72</f>
        <v>26.39</v>
      </c>
      <c r="V72" s="136">
        <f>IF(P72&gt;30,200+S72,100+S72)</f>
        <v>122</v>
      </c>
      <c r="Y72" s="138"/>
    </row>
    <row r="73" spans="1:25" s="135" customFormat="1" ht="15">
      <c r="A73" s="147" t="s">
        <v>303</v>
      </c>
      <c r="B73" s="148">
        <v>43060</v>
      </c>
      <c r="C73" s="149" t="s">
        <v>565</v>
      </c>
      <c r="D73" s="150">
        <v>37.43</v>
      </c>
      <c r="E73" s="139"/>
      <c r="F73" s="141"/>
      <c r="K73" s="151">
        <v>43067</v>
      </c>
      <c r="L73" s="134"/>
      <c r="M73" s="143">
        <v>43068</v>
      </c>
      <c r="N73" s="145">
        <f>+M73</f>
        <v>43068</v>
      </c>
      <c r="O73" s="137">
        <f>+M73-K73</f>
        <v>1</v>
      </c>
      <c r="P73" s="137">
        <f>+N73-M73</f>
        <v>0</v>
      </c>
      <c r="Q73" s="137">
        <f>+N73-K73</f>
        <v>1</v>
      </c>
      <c r="R73" s="137">
        <f>+Q73-30</f>
        <v>-29</v>
      </c>
      <c r="S73" s="136">
        <v>22</v>
      </c>
      <c r="T73" s="138">
        <f>+P73*D73</f>
        <v>0</v>
      </c>
      <c r="U73" s="138">
        <f>+R73*D73</f>
        <v>-1085.47</v>
      </c>
      <c r="V73" s="136">
        <f>IF(P73&gt;30,200+S73,100+S73)</f>
        <v>122</v>
      </c>
      <c r="Y73" s="138"/>
    </row>
    <row r="74" spans="1:25" s="135" customFormat="1" ht="15">
      <c r="A74" s="147" t="s">
        <v>302</v>
      </c>
      <c r="B74" s="148">
        <v>43060</v>
      </c>
      <c r="C74" s="149" t="s">
        <v>564</v>
      </c>
      <c r="D74" s="150">
        <v>67.88</v>
      </c>
      <c r="E74" s="139"/>
      <c r="F74" s="141"/>
      <c r="K74" s="151">
        <v>43067</v>
      </c>
      <c r="L74" s="134"/>
      <c r="M74" s="144">
        <v>43068</v>
      </c>
      <c r="N74" s="145">
        <f>+M74</f>
        <v>43068</v>
      </c>
      <c r="O74" s="137">
        <f>+M74-K74</f>
        <v>1</v>
      </c>
      <c r="P74" s="137">
        <f>+N74-M74</f>
        <v>0</v>
      </c>
      <c r="Q74" s="137">
        <f>+N74-K74</f>
        <v>1</v>
      </c>
      <c r="R74" s="137">
        <f>+Q74-30</f>
        <v>-29</v>
      </c>
      <c r="S74" s="136">
        <v>22</v>
      </c>
      <c r="T74" s="138">
        <f>+P74*D74</f>
        <v>0</v>
      </c>
      <c r="U74" s="138">
        <f>+R74*D74</f>
        <v>-1968.52</v>
      </c>
      <c r="V74" s="136">
        <f>IF(P74&gt;30,200+S74,100+S74)</f>
        <v>122</v>
      </c>
      <c r="Y74" s="138"/>
    </row>
    <row r="75" spans="1:25" s="135" customFormat="1" ht="15">
      <c r="A75" s="147" t="s">
        <v>301</v>
      </c>
      <c r="B75" s="148">
        <v>43062</v>
      </c>
      <c r="C75" s="149" t="s">
        <v>563</v>
      </c>
      <c r="D75" s="150">
        <v>-47.03</v>
      </c>
      <c r="E75" s="139"/>
      <c r="F75" s="141"/>
      <c r="K75" s="151">
        <v>43067</v>
      </c>
      <c r="L75" s="134"/>
      <c r="M75" s="144">
        <v>43068</v>
      </c>
      <c r="N75" s="145">
        <f>+M75</f>
        <v>43068</v>
      </c>
      <c r="O75" s="137">
        <f>+M75-K75</f>
        <v>1</v>
      </c>
      <c r="P75" s="137">
        <f>+N75-M75</f>
        <v>0</v>
      </c>
      <c r="Q75" s="137">
        <f>+N75-K75</f>
        <v>1</v>
      </c>
      <c r="R75" s="137">
        <f>+Q75-30</f>
        <v>-29</v>
      </c>
      <c r="S75" s="136">
        <v>22</v>
      </c>
      <c r="T75" s="138">
        <f>+P75*D75</f>
        <v>0</v>
      </c>
      <c r="U75" s="138">
        <f>+R75*D75</f>
        <v>1363.8700000000001</v>
      </c>
      <c r="V75" s="136">
        <f>IF(P75&gt;30,200+S75,100+S75)</f>
        <v>122</v>
      </c>
      <c r="Y75" s="138"/>
    </row>
    <row r="76" spans="1:25" s="135" customFormat="1" ht="15">
      <c r="A76" s="147" t="s">
        <v>300</v>
      </c>
      <c r="B76" s="148">
        <v>43033</v>
      </c>
      <c r="C76" s="149" t="s">
        <v>562</v>
      </c>
      <c r="D76" s="150">
        <v>16906.12</v>
      </c>
      <c r="E76" s="139"/>
      <c r="F76" s="141"/>
      <c r="K76" s="151">
        <v>43067</v>
      </c>
      <c r="L76" s="134"/>
      <c r="M76" s="143">
        <v>43066</v>
      </c>
      <c r="N76" s="145">
        <f>+M76</f>
        <v>43066</v>
      </c>
      <c r="O76" s="137">
        <f>+M76-K76</f>
        <v>-1</v>
      </c>
      <c r="P76" s="137">
        <f>+N76-M76</f>
        <v>0</v>
      </c>
      <c r="Q76" s="137">
        <f>+N76-K76</f>
        <v>-1</v>
      </c>
      <c r="R76" s="137">
        <f>+Q76-30</f>
        <v>-31</v>
      </c>
      <c r="S76" s="136">
        <v>29</v>
      </c>
      <c r="T76" s="138">
        <f>+P76*D76</f>
        <v>0</v>
      </c>
      <c r="U76" s="138">
        <f>+R76*D76</f>
        <v>-524089.72</v>
      </c>
      <c r="V76" s="136">
        <f>IF(P76&gt;30,200+S76,100+S76)</f>
        <v>129</v>
      </c>
      <c r="Y76" s="138"/>
    </row>
    <row r="77" spans="1:25" s="135" customFormat="1" ht="15">
      <c r="A77" s="147" t="s">
        <v>299</v>
      </c>
      <c r="B77" s="148">
        <v>43056</v>
      </c>
      <c r="C77" s="149" t="s">
        <v>561</v>
      </c>
      <c r="D77" s="150">
        <v>5119.51</v>
      </c>
      <c r="E77" s="139"/>
      <c r="F77" s="141"/>
      <c r="K77" s="151">
        <v>43067</v>
      </c>
      <c r="L77" s="134"/>
      <c r="M77" s="143">
        <v>43068</v>
      </c>
      <c r="N77" s="145">
        <f>+M77</f>
        <v>43068</v>
      </c>
      <c r="O77" s="137">
        <f>+M77-K77</f>
        <v>1</v>
      </c>
      <c r="P77" s="137">
        <f>+N77-M77</f>
        <v>0</v>
      </c>
      <c r="Q77" s="137">
        <f>+N77-K77</f>
        <v>1</v>
      </c>
      <c r="R77" s="137">
        <f>+Q77-30</f>
        <v>-29</v>
      </c>
      <c r="S77" s="136">
        <v>29</v>
      </c>
      <c r="T77" s="138">
        <f>+P77*D77</f>
        <v>0</v>
      </c>
      <c r="U77" s="138">
        <f>+R77*D77</f>
        <v>-148465.79</v>
      </c>
      <c r="V77" s="136">
        <f>IF(P77&gt;30,200+S77,100+S77)</f>
        <v>129</v>
      </c>
      <c r="Y77" s="138"/>
    </row>
    <row r="78" spans="1:25" s="135" customFormat="1" ht="15">
      <c r="A78" s="147" t="s">
        <v>298</v>
      </c>
      <c r="B78" s="148">
        <v>43063</v>
      </c>
      <c r="C78" s="149" t="s">
        <v>560</v>
      </c>
      <c r="D78" s="150">
        <v>1215.99</v>
      </c>
      <c r="E78" s="139"/>
      <c r="F78" s="141"/>
      <c r="K78" s="151">
        <v>43068</v>
      </c>
      <c r="L78" s="134"/>
      <c r="M78" s="143">
        <v>43068</v>
      </c>
      <c r="N78" s="145">
        <f>+M78</f>
        <v>43068</v>
      </c>
      <c r="O78" s="137">
        <f>+M78-K78</f>
        <v>0</v>
      </c>
      <c r="P78" s="137">
        <f>+N78-M78</f>
        <v>0</v>
      </c>
      <c r="Q78" s="137">
        <f>+N78-K78</f>
        <v>0</v>
      </c>
      <c r="R78" s="137">
        <f>+Q78-30</f>
        <v>-30</v>
      </c>
      <c r="S78" s="136">
        <v>29</v>
      </c>
      <c r="T78" s="138">
        <f>+P78*D78</f>
        <v>0</v>
      </c>
      <c r="U78" s="138">
        <f>+R78*D78</f>
        <v>-36479.7</v>
      </c>
      <c r="V78" s="136">
        <f>IF(P78&gt;30,200+S78,100+S78)</f>
        <v>129</v>
      </c>
      <c r="Y78" s="138"/>
    </row>
    <row r="79" spans="1:25" s="135" customFormat="1" ht="15">
      <c r="A79" s="147" t="s">
        <v>297</v>
      </c>
      <c r="B79" s="148">
        <v>43047</v>
      </c>
      <c r="C79" s="149" t="s">
        <v>559</v>
      </c>
      <c r="D79" s="150">
        <v>100</v>
      </c>
      <c r="E79" s="139"/>
      <c r="F79" s="141"/>
      <c r="K79" s="151">
        <v>43046</v>
      </c>
      <c r="L79" s="134"/>
      <c r="M79" s="144">
        <v>43046</v>
      </c>
      <c r="N79" s="145">
        <f>+M79</f>
        <v>43046</v>
      </c>
      <c r="O79" s="137">
        <f>+M79-K79</f>
        <v>0</v>
      </c>
      <c r="P79" s="137">
        <f>+N79-M79</f>
        <v>0</v>
      </c>
      <c r="Q79" s="137">
        <f>+N79-K79</f>
        <v>0</v>
      </c>
      <c r="R79" s="137">
        <f>+Q79-30</f>
        <v>-30</v>
      </c>
      <c r="S79" s="136">
        <v>29</v>
      </c>
      <c r="T79" s="138">
        <f>+P79*D79</f>
        <v>0</v>
      </c>
      <c r="U79" s="138">
        <f>+R79*D79</f>
        <v>-3000</v>
      </c>
      <c r="V79" s="136">
        <f>IF(P79&gt;30,200+S79,100+S79)</f>
        <v>129</v>
      </c>
      <c r="Y79" s="138"/>
    </row>
    <row r="80" spans="1:25" s="136" customFormat="1" ht="15">
      <c r="A80" s="147" t="s">
        <v>296</v>
      </c>
      <c r="B80" s="148">
        <v>43054</v>
      </c>
      <c r="C80" s="149" t="s">
        <v>558</v>
      </c>
      <c r="D80" s="150">
        <v>5000</v>
      </c>
      <c r="E80" s="139"/>
      <c r="F80" s="141"/>
      <c r="K80" s="151">
        <v>43080</v>
      </c>
      <c r="L80" s="134"/>
      <c r="M80" s="144">
        <v>43082</v>
      </c>
      <c r="N80" s="145">
        <f>+M80</f>
        <v>43082</v>
      </c>
      <c r="O80" s="137">
        <f>+M80-K80</f>
        <v>2</v>
      </c>
      <c r="P80" s="137">
        <f>+N80-M80</f>
        <v>0</v>
      </c>
      <c r="Q80" s="137">
        <f>+N80-K80</f>
        <v>2</v>
      </c>
      <c r="R80" s="137">
        <f>+Q80-30</f>
        <v>-28</v>
      </c>
      <c r="S80" s="136">
        <v>29</v>
      </c>
      <c r="T80" s="138">
        <f>+P80*D80</f>
        <v>0</v>
      </c>
      <c r="U80" s="138">
        <f>+R80*D80</f>
        <v>-140000</v>
      </c>
      <c r="V80" s="136">
        <f>IF(P80&gt;30,200+S80,100+S80)</f>
        <v>129</v>
      </c>
      <c r="Y80" s="138"/>
    </row>
    <row r="81" spans="1:25" s="135" customFormat="1" ht="15">
      <c r="A81" s="147" t="s">
        <v>295</v>
      </c>
      <c r="B81" s="148">
        <v>43069</v>
      </c>
      <c r="C81" s="149" t="s">
        <v>557</v>
      </c>
      <c r="D81" s="150">
        <v>844.18</v>
      </c>
      <c r="E81" s="139"/>
      <c r="F81" s="141"/>
      <c r="K81" s="151">
        <v>43080</v>
      </c>
      <c r="L81" s="134"/>
      <c r="M81" s="144">
        <v>43084</v>
      </c>
      <c r="N81" s="145">
        <f>+M81</f>
        <v>43084</v>
      </c>
      <c r="O81" s="137">
        <f>+M81-K81</f>
        <v>4</v>
      </c>
      <c r="P81" s="137">
        <f>+N81-M81</f>
        <v>0</v>
      </c>
      <c r="Q81" s="137">
        <f>+N81-K81</f>
        <v>4</v>
      </c>
      <c r="R81" s="137">
        <f>+Q81-30</f>
        <v>-26</v>
      </c>
      <c r="S81" s="136">
        <v>29</v>
      </c>
      <c r="T81" s="138">
        <f>+P81*D81</f>
        <v>0</v>
      </c>
      <c r="U81" s="138">
        <f>+R81*D81</f>
        <v>-21948.68</v>
      </c>
      <c r="V81" s="136">
        <f>IF(P81&gt;30,200+S81,100+S81)</f>
        <v>129</v>
      </c>
      <c r="Y81" s="138"/>
    </row>
    <row r="82" spans="1:25" s="135" customFormat="1" ht="15">
      <c r="A82" s="147" t="s">
        <v>294</v>
      </c>
      <c r="B82" s="148">
        <v>43060</v>
      </c>
      <c r="C82" s="149" t="s">
        <v>556</v>
      </c>
      <c r="D82" s="150">
        <v>428</v>
      </c>
      <c r="E82" s="139"/>
      <c r="F82" s="141"/>
      <c r="K82" s="151">
        <v>43080</v>
      </c>
      <c r="L82" s="134"/>
      <c r="M82" s="144">
        <v>43084</v>
      </c>
      <c r="N82" s="145">
        <f>+M82</f>
        <v>43084</v>
      </c>
      <c r="O82" s="137">
        <f>+M82-K82</f>
        <v>4</v>
      </c>
      <c r="P82" s="137">
        <f>+N82-M82</f>
        <v>0</v>
      </c>
      <c r="Q82" s="137">
        <f>+N82-K82</f>
        <v>4</v>
      </c>
      <c r="R82" s="137">
        <f>+Q82-30</f>
        <v>-26</v>
      </c>
      <c r="S82" s="136">
        <v>29</v>
      </c>
      <c r="T82" s="138">
        <f>+P82*D82</f>
        <v>0</v>
      </c>
      <c r="U82" s="138">
        <f>+R82*D82</f>
        <v>-11128</v>
      </c>
      <c r="V82" s="136">
        <f>IF(P82&gt;30,200+S82,100+S82)</f>
        <v>129</v>
      </c>
      <c r="Y82" s="138"/>
    </row>
    <row r="83" spans="1:25" s="136" customFormat="1" ht="15">
      <c r="A83" s="147" t="s">
        <v>293</v>
      </c>
      <c r="B83" s="148">
        <v>43056</v>
      </c>
      <c r="C83" s="149" t="s">
        <v>555</v>
      </c>
      <c r="D83" s="150">
        <v>102.85</v>
      </c>
      <c r="E83" s="139"/>
      <c r="F83" s="142"/>
      <c r="K83" s="151">
        <v>43066</v>
      </c>
      <c r="L83" s="145"/>
      <c r="M83" s="144">
        <v>43066</v>
      </c>
      <c r="N83" s="145">
        <f>+M83</f>
        <v>43066</v>
      </c>
      <c r="O83" s="137">
        <f>+M83-K83</f>
        <v>0</v>
      </c>
      <c r="P83" s="137">
        <f>+N83-M83</f>
        <v>0</v>
      </c>
      <c r="Q83" s="137">
        <f>+N83-K83</f>
        <v>0</v>
      </c>
      <c r="R83" s="137">
        <f>+Q83-30</f>
        <v>-30</v>
      </c>
      <c r="S83" s="136">
        <v>21</v>
      </c>
      <c r="T83" s="138">
        <f>+P83*D83</f>
        <v>0</v>
      </c>
      <c r="U83" s="138">
        <f>+R83*D83</f>
        <v>-3085.5</v>
      </c>
      <c r="V83" s="136">
        <f>IF(P83&gt;30,200+S83,100+S83)</f>
        <v>121</v>
      </c>
      <c r="Y83" s="146"/>
    </row>
    <row r="84" spans="1:25" s="136" customFormat="1" ht="15">
      <c r="A84" s="147" t="s">
        <v>292</v>
      </c>
      <c r="B84" s="148">
        <v>43059</v>
      </c>
      <c r="C84" s="149" t="s">
        <v>554</v>
      </c>
      <c r="D84" s="150">
        <v>247.45</v>
      </c>
      <c r="E84" s="139"/>
      <c r="F84" s="142"/>
      <c r="K84" s="151">
        <v>43081</v>
      </c>
      <c r="L84" s="145"/>
      <c r="M84" s="144">
        <v>43084</v>
      </c>
      <c r="N84" s="145">
        <f>+M84</f>
        <v>43084</v>
      </c>
      <c r="O84" s="137">
        <f>+M84-K84</f>
        <v>3</v>
      </c>
      <c r="P84" s="137">
        <f>+N84-M84</f>
        <v>0</v>
      </c>
      <c r="Q84" s="137">
        <f>+N84-K84</f>
        <v>3</v>
      </c>
      <c r="R84" s="137">
        <f>+Q84-30</f>
        <v>-27</v>
      </c>
      <c r="S84" s="136">
        <v>21</v>
      </c>
      <c r="T84" s="138">
        <f>+P84*D84</f>
        <v>0</v>
      </c>
      <c r="U84" s="138">
        <f>+R84*D84</f>
        <v>-6681.15</v>
      </c>
      <c r="V84" s="136">
        <f>IF(P84&gt;30,200+S84,100+S84)</f>
        <v>121</v>
      </c>
      <c r="Y84" s="146"/>
    </row>
    <row r="85" spans="1:25" s="136" customFormat="1" ht="15">
      <c r="A85" s="147" t="s">
        <v>291</v>
      </c>
      <c r="B85" s="148">
        <v>43058</v>
      </c>
      <c r="C85" s="149" t="s">
        <v>553</v>
      </c>
      <c r="D85" s="150">
        <v>58.4</v>
      </c>
      <c r="E85" s="139"/>
      <c r="F85" s="142"/>
      <c r="K85" s="151">
        <v>43059</v>
      </c>
      <c r="L85" s="145"/>
      <c r="M85" s="144">
        <v>43059</v>
      </c>
      <c r="N85" s="145">
        <f>+M85</f>
        <v>43059</v>
      </c>
      <c r="O85" s="137">
        <f>+M85-K85</f>
        <v>0</v>
      </c>
      <c r="P85" s="137">
        <f>+N85-M85</f>
        <v>0</v>
      </c>
      <c r="Q85" s="137">
        <f>+N85-K85</f>
        <v>0</v>
      </c>
      <c r="R85" s="137">
        <f>+Q85-30</f>
        <v>-30</v>
      </c>
      <c r="S85" s="136">
        <v>29</v>
      </c>
      <c r="T85" s="138">
        <f>+P85*D85</f>
        <v>0</v>
      </c>
      <c r="U85" s="138">
        <f>+R85*D85</f>
        <v>-1752</v>
      </c>
      <c r="V85" s="136">
        <f>IF(P85&gt;30,200+S85,100+S85)</f>
        <v>129</v>
      </c>
      <c r="Y85" s="146"/>
    </row>
    <row r="86" spans="1:25" s="136" customFormat="1" ht="15">
      <c r="A86" s="147" t="s">
        <v>290</v>
      </c>
      <c r="B86" s="148">
        <v>43059</v>
      </c>
      <c r="C86" s="149" t="s">
        <v>552</v>
      </c>
      <c r="D86" s="150">
        <v>949.85</v>
      </c>
      <c r="E86" s="139"/>
      <c r="F86" s="142"/>
      <c r="K86" s="151">
        <v>43081</v>
      </c>
      <c r="L86" s="145"/>
      <c r="M86" s="144">
        <v>43084</v>
      </c>
      <c r="N86" s="145">
        <f>+M86</f>
        <v>43084</v>
      </c>
      <c r="O86" s="137">
        <f>+M86-K86</f>
        <v>3</v>
      </c>
      <c r="P86" s="137">
        <f>+N86-M86</f>
        <v>0</v>
      </c>
      <c r="Q86" s="137">
        <f>+N86-K86</f>
        <v>3</v>
      </c>
      <c r="R86" s="137">
        <f>+Q86-30</f>
        <v>-27</v>
      </c>
      <c r="S86" s="136">
        <v>29</v>
      </c>
      <c r="T86" s="138">
        <f>+P86*D86</f>
        <v>0</v>
      </c>
      <c r="U86" s="138">
        <f>+R86*D86</f>
        <v>-25645.95</v>
      </c>
      <c r="V86" s="136">
        <f>IF(P86&gt;30,200+S86,100+S86)</f>
        <v>129</v>
      </c>
      <c r="Y86" s="146"/>
    </row>
    <row r="87" spans="1:25" s="136" customFormat="1" ht="15">
      <c r="A87" s="147" t="s">
        <v>289</v>
      </c>
      <c r="B87" s="148">
        <v>43065</v>
      </c>
      <c r="C87" s="149" t="s">
        <v>551</v>
      </c>
      <c r="D87" s="150">
        <v>440</v>
      </c>
      <c r="E87" s="139"/>
      <c r="F87" s="142"/>
      <c r="K87" s="151">
        <v>43081</v>
      </c>
      <c r="L87" s="145"/>
      <c r="M87" s="144">
        <v>43084</v>
      </c>
      <c r="N87" s="145">
        <f>+M87</f>
        <v>43084</v>
      </c>
      <c r="O87" s="137">
        <f>+M87-K87</f>
        <v>3</v>
      </c>
      <c r="P87" s="137">
        <f>+N87-M87</f>
        <v>0</v>
      </c>
      <c r="Q87" s="137">
        <f>+N87-K87</f>
        <v>3</v>
      </c>
      <c r="R87" s="137">
        <f>+Q87-30</f>
        <v>-27</v>
      </c>
      <c r="S87" s="136">
        <v>29</v>
      </c>
      <c r="T87" s="138">
        <f>+P87*D87</f>
        <v>0</v>
      </c>
      <c r="U87" s="138">
        <f>+R87*D87</f>
        <v>-11880</v>
      </c>
      <c r="V87" s="136">
        <f>IF(P87&gt;30,200+S87,100+S87)</f>
        <v>129</v>
      </c>
      <c r="Y87" s="146"/>
    </row>
    <row r="88" spans="1:25" s="136" customFormat="1" ht="15">
      <c r="A88" s="147" t="s">
        <v>288</v>
      </c>
      <c r="B88" s="148">
        <v>43063</v>
      </c>
      <c r="C88" s="149" t="s">
        <v>550</v>
      </c>
      <c r="D88" s="150">
        <v>3903.46</v>
      </c>
      <c r="E88" s="139"/>
      <c r="F88" s="142"/>
      <c r="K88" s="151">
        <v>43081</v>
      </c>
      <c r="L88" s="145"/>
      <c r="M88" s="144">
        <v>43084</v>
      </c>
      <c r="N88" s="145">
        <f>+M88</f>
        <v>43084</v>
      </c>
      <c r="O88" s="137">
        <f>+M88-K88</f>
        <v>3</v>
      </c>
      <c r="P88" s="137">
        <f>+N88-M88</f>
        <v>0</v>
      </c>
      <c r="Q88" s="137">
        <f>+N88-K88</f>
        <v>3</v>
      </c>
      <c r="R88" s="137">
        <f>+Q88-30</f>
        <v>-27</v>
      </c>
      <c r="S88" s="136">
        <v>29</v>
      </c>
      <c r="T88" s="138">
        <f>+P88*D88</f>
        <v>0</v>
      </c>
      <c r="U88" s="138">
        <f>+R88*D88</f>
        <v>-105393.42</v>
      </c>
      <c r="V88" s="136">
        <f>IF(P88&gt;30,200+S88,100+S88)</f>
        <v>129</v>
      </c>
      <c r="Y88" s="146"/>
    </row>
    <row r="89" spans="1:25" s="136" customFormat="1" ht="15">
      <c r="A89" s="147" t="s">
        <v>287</v>
      </c>
      <c r="B89" s="148">
        <v>43067</v>
      </c>
      <c r="C89" s="149" t="s">
        <v>549</v>
      </c>
      <c r="D89" s="150">
        <v>242</v>
      </c>
      <c r="E89" s="139"/>
      <c r="F89" s="142"/>
      <c r="K89" s="151">
        <v>43081</v>
      </c>
      <c r="L89" s="145"/>
      <c r="M89" s="144">
        <v>43084</v>
      </c>
      <c r="N89" s="145">
        <f>+M89</f>
        <v>43084</v>
      </c>
      <c r="O89" s="137">
        <f>+M89-K89</f>
        <v>3</v>
      </c>
      <c r="P89" s="137">
        <f>+N89-M89</f>
        <v>0</v>
      </c>
      <c r="Q89" s="137">
        <f>+N89-K89</f>
        <v>3</v>
      </c>
      <c r="R89" s="137">
        <f>+Q89-30</f>
        <v>-27</v>
      </c>
      <c r="S89" s="136">
        <v>21</v>
      </c>
      <c r="T89" s="138">
        <f>+P89*D89</f>
        <v>0</v>
      </c>
      <c r="U89" s="138">
        <f>+R89*D89</f>
        <v>-6534</v>
      </c>
      <c r="V89" s="136">
        <f>IF(P89&gt;30,200+S89,100+S89)</f>
        <v>121</v>
      </c>
      <c r="Y89" s="146"/>
    </row>
    <row r="90" spans="1:25" s="136" customFormat="1" ht="15">
      <c r="A90" s="147" t="s">
        <v>286</v>
      </c>
      <c r="B90" s="148">
        <v>43062</v>
      </c>
      <c r="C90" s="149" t="s">
        <v>548</v>
      </c>
      <c r="D90" s="150">
        <v>471.91</v>
      </c>
      <c r="E90" s="139"/>
      <c r="F90" s="142"/>
      <c r="K90" s="151">
        <v>43081</v>
      </c>
      <c r="L90" s="145"/>
      <c r="M90" s="144">
        <v>43081</v>
      </c>
      <c r="N90" s="145">
        <f>+M90</f>
        <v>43081</v>
      </c>
      <c r="O90" s="137">
        <f>+M90-K90</f>
        <v>0</v>
      </c>
      <c r="P90" s="137">
        <f>+N90-M90</f>
        <v>0</v>
      </c>
      <c r="Q90" s="137">
        <f>+N90-K90</f>
        <v>0</v>
      </c>
      <c r="R90" s="137">
        <f>+Q90-30</f>
        <v>-30</v>
      </c>
      <c r="S90" s="136">
        <v>21</v>
      </c>
      <c r="T90" s="138">
        <f>+P90*D90</f>
        <v>0</v>
      </c>
      <c r="U90" s="138">
        <f>+R90*D90</f>
        <v>-14157.300000000001</v>
      </c>
      <c r="V90" s="136">
        <f>IF(P90&gt;30,200+S90,100+S90)</f>
        <v>121</v>
      </c>
      <c r="Y90" s="146"/>
    </row>
    <row r="91" spans="1:25" s="136" customFormat="1" ht="15">
      <c r="A91" s="147" t="s">
        <v>285</v>
      </c>
      <c r="B91" s="148">
        <v>43069</v>
      </c>
      <c r="C91" s="149" t="s">
        <v>547</v>
      </c>
      <c r="D91" s="150">
        <v>232.53</v>
      </c>
      <c r="E91" s="139"/>
      <c r="F91" s="142"/>
      <c r="K91" s="151">
        <v>43082</v>
      </c>
      <c r="L91" s="145"/>
      <c r="M91" s="144">
        <v>43082</v>
      </c>
      <c r="N91" s="145">
        <f>+M91</f>
        <v>43082</v>
      </c>
      <c r="O91" s="137">
        <f>+M91-K91</f>
        <v>0</v>
      </c>
      <c r="P91" s="137">
        <f>+N91-M91</f>
        <v>0</v>
      </c>
      <c r="Q91" s="137">
        <f>+N91-K91</f>
        <v>0</v>
      </c>
      <c r="R91" s="137">
        <f>+Q91-30</f>
        <v>-30</v>
      </c>
      <c r="S91" s="136">
        <v>21</v>
      </c>
      <c r="T91" s="138">
        <f>+P91*D91</f>
        <v>0</v>
      </c>
      <c r="U91" s="138">
        <f>+R91*D91</f>
        <v>-6975.9</v>
      </c>
      <c r="V91" s="136">
        <f>IF(P91&gt;30,200+S91,100+S91)</f>
        <v>121</v>
      </c>
      <c r="Y91" s="146"/>
    </row>
    <row r="92" spans="1:25" s="136" customFormat="1" ht="15">
      <c r="A92" s="147" t="s">
        <v>284</v>
      </c>
      <c r="B92" s="148">
        <v>43069</v>
      </c>
      <c r="C92" s="149" t="s">
        <v>546</v>
      </c>
      <c r="D92" s="150">
        <v>1367.31</v>
      </c>
      <c r="E92" s="139"/>
      <c r="F92" s="142"/>
      <c r="K92" s="151">
        <v>43082</v>
      </c>
      <c r="L92" s="145"/>
      <c r="M92" s="144">
        <v>43081</v>
      </c>
      <c r="N92" s="145">
        <f>+M92</f>
        <v>43081</v>
      </c>
      <c r="O92" s="137">
        <f>+M92-K92</f>
        <v>-1</v>
      </c>
      <c r="P92" s="137">
        <f>+N92-M92</f>
        <v>0</v>
      </c>
      <c r="Q92" s="137">
        <f>+N92-K92</f>
        <v>-1</v>
      </c>
      <c r="R92" s="137">
        <f>+Q92-30</f>
        <v>-31</v>
      </c>
      <c r="S92" s="136">
        <v>69</v>
      </c>
      <c r="T92" s="138">
        <f>+P92*D92</f>
        <v>0</v>
      </c>
      <c r="U92" s="138">
        <f>+R92*D92</f>
        <v>-42386.61</v>
      </c>
      <c r="V92" s="136">
        <f>IF(P92&gt;30,200+S92,100+S92)</f>
        <v>169</v>
      </c>
      <c r="Y92" s="146"/>
    </row>
    <row r="93" spans="1:25" s="136" customFormat="1" ht="15">
      <c r="A93" s="147" t="s">
        <v>283</v>
      </c>
      <c r="B93" s="148">
        <v>43077</v>
      </c>
      <c r="C93" s="149" t="s">
        <v>545</v>
      </c>
      <c r="D93" s="150">
        <v>822.8</v>
      </c>
      <c r="E93" s="139"/>
      <c r="F93" s="142"/>
      <c r="K93" s="151">
        <v>43083</v>
      </c>
      <c r="L93" s="145"/>
      <c r="M93" s="144">
        <v>43084</v>
      </c>
      <c r="N93" s="145">
        <f>+M93</f>
        <v>43084</v>
      </c>
      <c r="O93" s="137">
        <f>+M93-K93</f>
        <v>1</v>
      </c>
      <c r="P93" s="137">
        <f>+N93-M93</f>
        <v>0</v>
      </c>
      <c r="Q93" s="137">
        <f>+N93-K93</f>
        <v>1</v>
      </c>
      <c r="R93" s="137">
        <f>+Q93-30</f>
        <v>-29</v>
      </c>
      <c r="S93" s="136">
        <v>29</v>
      </c>
      <c r="T93" s="138">
        <f>+P93*D93</f>
        <v>0</v>
      </c>
      <c r="U93" s="138">
        <f>+R93*D93</f>
        <v>-23861.199999999997</v>
      </c>
      <c r="V93" s="136">
        <f>IF(P93&gt;30,200+S93,100+S93)</f>
        <v>129</v>
      </c>
      <c r="Y93" s="146"/>
    </row>
    <row r="94" spans="1:25" s="136" customFormat="1" ht="15">
      <c r="A94" s="147" t="s">
        <v>282</v>
      </c>
      <c r="B94" s="148">
        <v>43055</v>
      </c>
      <c r="C94" s="149" t="s">
        <v>544</v>
      </c>
      <c r="D94" s="150">
        <v>471.91</v>
      </c>
      <c r="E94" s="139"/>
      <c r="F94" s="142"/>
      <c r="K94" s="151">
        <v>43084</v>
      </c>
      <c r="L94" s="145"/>
      <c r="M94" s="144">
        <v>43084</v>
      </c>
      <c r="N94" s="145">
        <f>+M94</f>
        <v>43084</v>
      </c>
      <c r="O94" s="137">
        <f>+M94-K94</f>
        <v>0</v>
      </c>
      <c r="P94" s="137">
        <f>+N94-M94</f>
        <v>0</v>
      </c>
      <c r="Q94" s="137">
        <f>+N94-K94</f>
        <v>0</v>
      </c>
      <c r="R94" s="137">
        <f>+Q94-30</f>
        <v>-30</v>
      </c>
      <c r="S94" s="136">
        <v>29</v>
      </c>
      <c r="T94" s="138">
        <f>+P94*D94</f>
        <v>0</v>
      </c>
      <c r="U94" s="138">
        <f>+R94*D94</f>
        <v>-14157.300000000001</v>
      </c>
      <c r="V94" s="136">
        <f>IF(P94&gt;30,200+S94,100+S94)</f>
        <v>129</v>
      </c>
      <c r="Y94" s="146"/>
    </row>
    <row r="95" spans="1:25" s="136" customFormat="1" ht="15">
      <c r="A95" s="147" t="s">
        <v>281</v>
      </c>
      <c r="B95" s="148">
        <v>43080</v>
      </c>
      <c r="C95" s="149" t="s">
        <v>543</v>
      </c>
      <c r="D95" s="150">
        <v>225.79</v>
      </c>
      <c r="E95" s="139"/>
      <c r="F95" s="142"/>
      <c r="K95" s="151">
        <v>43084</v>
      </c>
      <c r="L95" s="145"/>
      <c r="M95" s="144">
        <v>43084</v>
      </c>
      <c r="N95" s="145">
        <f>+M95</f>
        <v>43084</v>
      </c>
      <c r="O95" s="137">
        <f>+M95-K95</f>
        <v>0</v>
      </c>
      <c r="P95" s="137">
        <f>+N95-M95</f>
        <v>0</v>
      </c>
      <c r="Q95" s="137">
        <f>+N95-K95</f>
        <v>0</v>
      </c>
      <c r="R95" s="137">
        <f>+Q95-30</f>
        <v>-30</v>
      </c>
      <c r="S95" s="136">
        <v>29</v>
      </c>
      <c r="T95" s="138">
        <f>+P95*D95</f>
        <v>0</v>
      </c>
      <c r="U95" s="138">
        <f>+R95*D95</f>
        <v>-6773.7</v>
      </c>
      <c r="V95" s="136">
        <f>IF(P95&gt;30,200+S95,100+S95)</f>
        <v>129</v>
      </c>
      <c r="Y95" s="146"/>
    </row>
    <row r="96" spans="1:25" s="136" customFormat="1" ht="15">
      <c r="A96" s="147" t="s">
        <v>280</v>
      </c>
      <c r="B96" s="148">
        <v>43069</v>
      </c>
      <c r="C96" s="149" t="s">
        <v>542</v>
      </c>
      <c r="D96" s="150">
        <v>10.02</v>
      </c>
      <c r="E96" s="139"/>
      <c r="F96" s="142"/>
      <c r="K96" s="151">
        <v>43084</v>
      </c>
      <c r="L96" s="145"/>
      <c r="M96" s="144">
        <v>43084</v>
      </c>
      <c r="N96" s="145">
        <f>+M96</f>
        <v>43084</v>
      </c>
      <c r="O96" s="137">
        <f>+M96-K96</f>
        <v>0</v>
      </c>
      <c r="P96" s="137">
        <f>+N96-M96</f>
        <v>0</v>
      </c>
      <c r="Q96" s="137">
        <f>+N96-K96</f>
        <v>0</v>
      </c>
      <c r="R96" s="137">
        <f>+Q96-30</f>
        <v>-30</v>
      </c>
      <c r="S96" s="136">
        <v>29</v>
      </c>
      <c r="T96" s="138">
        <f>+P96*D96</f>
        <v>0</v>
      </c>
      <c r="U96" s="138">
        <f>+R96*D96</f>
        <v>-300.59999999999997</v>
      </c>
      <c r="V96" s="136">
        <f>IF(P96&gt;30,200+S96,100+S96)</f>
        <v>129</v>
      </c>
      <c r="Y96" s="146"/>
    </row>
    <row r="97" spans="1:25" s="136" customFormat="1" ht="15">
      <c r="A97" s="147" t="s">
        <v>279</v>
      </c>
      <c r="B97" s="148">
        <v>43083</v>
      </c>
      <c r="C97" s="149" t="s">
        <v>541</v>
      </c>
      <c r="D97" s="150">
        <v>55.18</v>
      </c>
      <c r="E97" s="139"/>
      <c r="F97" s="142"/>
      <c r="K97" s="151">
        <v>43084</v>
      </c>
      <c r="L97" s="145"/>
      <c r="M97" s="144">
        <v>43084</v>
      </c>
      <c r="N97" s="145">
        <f>+M97</f>
        <v>43084</v>
      </c>
      <c r="O97" s="137">
        <f>+M97-K97</f>
        <v>0</v>
      </c>
      <c r="P97" s="137">
        <f>+N97-M97</f>
        <v>0</v>
      </c>
      <c r="Q97" s="137">
        <f>+N97-K97</f>
        <v>0</v>
      </c>
      <c r="R97" s="137">
        <f>+Q97-30</f>
        <v>-30</v>
      </c>
      <c r="S97" s="136">
        <v>29</v>
      </c>
      <c r="T97" s="138">
        <f>+P97*D97</f>
        <v>0</v>
      </c>
      <c r="U97" s="138">
        <f>+R97*D97</f>
        <v>-1655.4</v>
      </c>
      <c r="V97" s="136">
        <f>IF(P97&gt;30,200+S97,100+S97)</f>
        <v>129</v>
      </c>
      <c r="Y97" s="146"/>
    </row>
    <row r="98" spans="1:25" s="136" customFormat="1" ht="15">
      <c r="A98" s="147" t="s">
        <v>278</v>
      </c>
      <c r="B98" s="148">
        <v>43083</v>
      </c>
      <c r="C98" s="149" t="s">
        <v>540</v>
      </c>
      <c r="D98" s="150">
        <v>363.12</v>
      </c>
      <c r="E98" s="139"/>
      <c r="F98" s="141"/>
      <c r="K98" s="151">
        <v>43084</v>
      </c>
      <c r="L98" s="134"/>
      <c r="M98" s="143">
        <v>43084</v>
      </c>
      <c r="N98" s="134">
        <f>+M98</f>
        <v>43084</v>
      </c>
      <c r="O98" s="137">
        <f>+M98-K98</f>
        <v>0</v>
      </c>
      <c r="P98" s="137">
        <f>+N98-M98</f>
        <v>0</v>
      </c>
      <c r="Q98" s="137">
        <f>+N98-K98</f>
        <v>0</v>
      </c>
      <c r="R98" s="137">
        <f>+Q98-30</f>
        <v>-30</v>
      </c>
      <c r="S98" s="136">
        <v>29</v>
      </c>
      <c r="T98" s="138">
        <f>+P98*D98</f>
        <v>0</v>
      </c>
      <c r="U98" s="138">
        <f>+R98*D98</f>
        <v>-10893.6</v>
      </c>
      <c r="V98" s="136">
        <f>IF(P98&gt;30,200+S98,100+S98)</f>
        <v>129</v>
      </c>
      <c r="Y98" s="138"/>
    </row>
    <row r="99" spans="1:25" s="135" customFormat="1" ht="15">
      <c r="A99" s="147" t="s">
        <v>277</v>
      </c>
      <c r="B99" s="148">
        <v>43083</v>
      </c>
      <c r="C99" s="149" t="s">
        <v>539</v>
      </c>
      <c r="D99" s="150">
        <v>943.8</v>
      </c>
      <c r="E99" s="139"/>
      <c r="F99" s="141"/>
      <c r="K99" s="151">
        <v>43084</v>
      </c>
      <c r="L99" s="134"/>
      <c r="M99" s="143">
        <v>43084</v>
      </c>
      <c r="N99" s="134">
        <f>+M99</f>
        <v>43084</v>
      </c>
      <c r="O99" s="137">
        <f>+M99-K99</f>
        <v>0</v>
      </c>
      <c r="P99" s="137">
        <f>+N99-M99</f>
        <v>0</v>
      </c>
      <c r="Q99" s="137">
        <f>+N99-K99</f>
        <v>0</v>
      </c>
      <c r="R99" s="137">
        <f>+Q99-30</f>
        <v>-30</v>
      </c>
      <c r="S99" s="136">
        <v>29</v>
      </c>
      <c r="T99" s="138">
        <f>+P99*D99</f>
        <v>0</v>
      </c>
      <c r="U99" s="138">
        <f>+R99*D99</f>
        <v>-28314</v>
      </c>
      <c r="V99" s="136">
        <f>IF(P99&gt;30,200+S99,100+S99)</f>
        <v>129</v>
      </c>
      <c r="Y99" s="138"/>
    </row>
    <row r="100" spans="1:25" s="136" customFormat="1" ht="17.25" customHeight="1">
      <c r="A100" s="147" t="s">
        <v>276</v>
      </c>
      <c r="B100" s="148">
        <v>43082</v>
      </c>
      <c r="C100" s="149" t="s">
        <v>538</v>
      </c>
      <c r="D100" s="150">
        <v>14570</v>
      </c>
      <c r="E100" s="139"/>
      <c r="F100" s="142"/>
      <c r="K100" s="151">
        <v>43084</v>
      </c>
      <c r="L100" s="145"/>
      <c r="M100" s="144">
        <v>43084</v>
      </c>
      <c r="N100" s="145">
        <f>+M100</f>
        <v>43084</v>
      </c>
      <c r="O100" s="137">
        <f>+M100-K100</f>
        <v>0</v>
      </c>
      <c r="P100" s="137">
        <f>+N100-M100</f>
        <v>0</v>
      </c>
      <c r="Q100" s="137">
        <f>+N100-K100</f>
        <v>0</v>
      </c>
      <c r="R100" s="137">
        <f>+Q100-30</f>
        <v>-30</v>
      </c>
      <c r="S100" s="136">
        <v>69</v>
      </c>
      <c r="T100" s="138">
        <f>+P100*D100</f>
        <v>0</v>
      </c>
      <c r="U100" s="138">
        <f>+R100*D100</f>
        <v>-437100</v>
      </c>
      <c r="V100" s="136">
        <f>IF(P100&gt;30,200+S100,100+S100)</f>
        <v>169</v>
      </c>
      <c r="Y100" s="146"/>
    </row>
    <row r="101" spans="1:25" s="136" customFormat="1" ht="15">
      <c r="A101" s="147" t="s">
        <v>275</v>
      </c>
      <c r="B101" s="148">
        <v>43083</v>
      </c>
      <c r="C101" s="149" t="s">
        <v>537</v>
      </c>
      <c r="D101" s="150">
        <v>5525.43</v>
      </c>
      <c r="E101" s="139"/>
      <c r="F101" s="142"/>
      <c r="K101" s="151">
        <v>43084</v>
      </c>
      <c r="L101" s="145"/>
      <c r="M101" s="144">
        <v>43084</v>
      </c>
      <c r="N101" s="145">
        <f>+M101</f>
        <v>43084</v>
      </c>
      <c r="O101" s="137">
        <f>+M101-K101</f>
        <v>0</v>
      </c>
      <c r="P101" s="137">
        <f>+N101-M101</f>
        <v>0</v>
      </c>
      <c r="Q101" s="137">
        <f>+N101-K101</f>
        <v>0</v>
      </c>
      <c r="R101" s="137">
        <f>+Q101-30</f>
        <v>-30</v>
      </c>
      <c r="S101" s="136">
        <v>69</v>
      </c>
      <c r="T101" s="138">
        <f>+P101*D101</f>
        <v>0</v>
      </c>
      <c r="U101" s="138">
        <f>+R101*D101</f>
        <v>-165762.90000000002</v>
      </c>
      <c r="V101" s="136">
        <f>IF(P101&gt;30,200+S101,100+S101)</f>
        <v>169</v>
      </c>
      <c r="Y101" s="146"/>
    </row>
    <row r="102" spans="1:25" s="136" customFormat="1" ht="15">
      <c r="A102" s="147" t="s">
        <v>274</v>
      </c>
      <c r="B102" s="148">
        <v>43073</v>
      </c>
      <c r="C102" s="149" t="s">
        <v>536</v>
      </c>
      <c r="D102" s="150">
        <v>180.23</v>
      </c>
      <c r="E102" s="139"/>
      <c r="F102" s="142"/>
      <c r="K102" s="151">
        <v>43087</v>
      </c>
      <c r="L102" s="145"/>
      <c r="M102" s="144">
        <v>43090</v>
      </c>
      <c r="N102" s="145">
        <f>+M102</f>
        <v>43090</v>
      </c>
      <c r="O102" s="137">
        <f>+M102-K102</f>
        <v>3</v>
      </c>
      <c r="P102" s="137">
        <f>+N102-M102</f>
        <v>0</v>
      </c>
      <c r="Q102" s="137">
        <f>+N102-K102</f>
        <v>3</v>
      </c>
      <c r="R102" s="137">
        <f>+Q102-30</f>
        <v>-27</v>
      </c>
      <c r="S102" s="136">
        <v>29</v>
      </c>
      <c r="T102" s="138">
        <f>+P102*D102</f>
        <v>0</v>
      </c>
      <c r="U102" s="138">
        <f>+R102*D102</f>
        <v>-4866.21</v>
      </c>
      <c r="V102" s="136">
        <f>IF(P102&gt;30,200+S102,100+S102)</f>
        <v>129</v>
      </c>
      <c r="Y102" s="146"/>
    </row>
    <row r="103" spans="1:25" s="136" customFormat="1" ht="15">
      <c r="A103" s="147" t="s">
        <v>273</v>
      </c>
      <c r="B103" s="148">
        <v>43068</v>
      </c>
      <c r="C103" s="149" t="s">
        <v>535</v>
      </c>
      <c r="D103" s="150">
        <v>4021.44</v>
      </c>
      <c r="K103" s="151">
        <v>43087</v>
      </c>
      <c r="L103" s="145"/>
      <c r="M103" s="144">
        <v>43087</v>
      </c>
      <c r="N103" s="145">
        <f>+M103</f>
        <v>43087</v>
      </c>
      <c r="O103" s="137">
        <f>+M103-K103</f>
        <v>0</v>
      </c>
      <c r="P103" s="137">
        <f>+N103-M103</f>
        <v>0</v>
      </c>
      <c r="Q103" s="137">
        <f>+N103-K103</f>
        <v>0</v>
      </c>
      <c r="R103" s="137">
        <f>+Q103-30</f>
        <v>-30</v>
      </c>
      <c r="S103" s="136">
        <v>29</v>
      </c>
      <c r="T103" s="138">
        <f>+P103*D103</f>
        <v>0</v>
      </c>
      <c r="U103" s="138">
        <f>+R103*D103</f>
        <v>-120643.2</v>
      </c>
      <c r="V103" s="136">
        <f>IF(P103&gt;30,200+S103,100+S103)</f>
        <v>129</v>
      </c>
      <c r="Y103" s="146"/>
    </row>
    <row r="104" spans="1:25" s="136" customFormat="1" ht="15">
      <c r="A104" s="147" t="s">
        <v>272</v>
      </c>
      <c r="B104" s="148">
        <v>43009</v>
      </c>
      <c r="C104" s="149" t="s">
        <v>534</v>
      </c>
      <c r="D104" s="150">
        <v>2093.31</v>
      </c>
      <c r="K104" s="151">
        <v>43038</v>
      </c>
      <c r="L104" s="145"/>
      <c r="M104" s="144">
        <v>43038</v>
      </c>
      <c r="N104" s="145">
        <f>+M104</f>
        <v>43038</v>
      </c>
      <c r="O104" s="137">
        <f>+M104-K104</f>
        <v>0</v>
      </c>
      <c r="P104" s="137">
        <f>+N104-M104</f>
        <v>0</v>
      </c>
      <c r="Q104" s="137">
        <f>+N104-K104</f>
        <v>0</v>
      </c>
      <c r="R104" s="137">
        <f>+Q104-30</f>
        <v>-30</v>
      </c>
      <c r="S104" s="136">
        <v>29</v>
      </c>
      <c r="T104" s="138">
        <f>+P104*D104</f>
        <v>0</v>
      </c>
      <c r="U104" s="138">
        <f>+R104*D104</f>
        <v>-62799.299999999996</v>
      </c>
      <c r="V104" s="136">
        <f>IF(P104&gt;30,200+S104,100+S104)</f>
        <v>129</v>
      </c>
      <c r="Y104" s="146"/>
    </row>
    <row r="105" spans="1:25" s="136" customFormat="1" ht="15">
      <c r="A105" s="147" t="s">
        <v>271</v>
      </c>
      <c r="B105" s="148">
        <v>43069</v>
      </c>
      <c r="C105" s="149" t="s">
        <v>533</v>
      </c>
      <c r="D105" s="150">
        <v>692.97</v>
      </c>
      <c r="K105" s="151">
        <v>43088</v>
      </c>
      <c r="L105" s="145"/>
      <c r="M105" s="144">
        <v>43090</v>
      </c>
      <c r="N105" s="145">
        <f>+M105</f>
        <v>43090</v>
      </c>
      <c r="O105" s="137">
        <f>+M105-K105</f>
        <v>2</v>
      </c>
      <c r="P105" s="137">
        <f>+N105-M105</f>
        <v>0</v>
      </c>
      <c r="Q105" s="137">
        <f>+N105-K105</f>
        <v>2</v>
      </c>
      <c r="R105" s="137">
        <f>+Q105-30</f>
        <v>-28</v>
      </c>
      <c r="S105" s="136">
        <v>29</v>
      </c>
      <c r="T105" s="138">
        <f>+P105*D105</f>
        <v>0</v>
      </c>
      <c r="U105" s="138">
        <f>+R105*D105</f>
        <v>-19403.16</v>
      </c>
      <c r="V105" s="136">
        <f>IF(P105&gt;30,200+S105,100+S105)</f>
        <v>129</v>
      </c>
      <c r="Y105" s="146"/>
    </row>
    <row r="106" spans="1:25" s="136" customFormat="1" ht="15">
      <c r="A106" s="147" t="s">
        <v>270</v>
      </c>
      <c r="B106" s="148">
        <v>43067</v>
      </c>
      <c r="C106" s="149" t="s">
        <v>532</v>
      </c>
      <c r="D106" s="150">
        <v>151.25</v>
      </c>
      <c r="K106" s="151">
        <v>43088</v>
      </c>
      <c r="L106" s="145"/>
      <c r="M106" s="144">
        <v>43090</v>
      </c>
      <c r="N106" s="145">
        <f>+M106</f>
        <v>43090</v>
      </c>
      <c r="O106" s="137">
        <f>+M106-K106</f>
        <v>2</v>
      </c>
      <c r="P106" s="137">
        <f>+N106-M106</f>
        <v>0</v>
      </c>
      <c r="Q106" s="137">
        <f>+N106-K106</f>
        <v>2</v>
      </c>
      <c r="R106" s="137">
        <f>+Q106-30</f>
        <v>-28</v>
      </c>
      <c r="S106" s="136">
        <v>21</v>
      </c>
      <c r="T106" s="138">
        <f>+P106*D106</f>
        <v>0</v>
      </c>
      <c r="U106" s="138">
        <f>+R106*D106</f>
        <v>-4235</v>
      </c>
      <c r="V106" s="136">
        <f>IF(P106&gt;30,200+S106,100+S106)</f>
        <v>121</v>
      </c>
      <c r="Y106" s="146"/>
    </row>
    <row r="107" spans="1:25" s="136" customFormat="1" ht="15">
      <c r="A107" s="147" t="s">
        <v>269</v>
      </c>
      <c r="B107" s="148">
        <v>43062</v>
      </c>
      <c r="C107" s="149" t="s">
        <v>531</v>
      </c>
      <c r="D107" s="150">
        <v>150.01</v>
      </c>
      <c r="K107" s="151">
        <v>43088</v>
      </c>
      <c r="L107" s="145"/>
      <c r="M107" s="144">
        <v>43090</v>
      </c>
      <c r="N107" s="145">
        <f>+M107</f>
        <v>43090</v>
      </c>
      <c r="O107" s="137">
        <f>+M107-K107</f>
        <v>2</v>
      </c>
      <c r="P107" s="137">
        <f>+N107-M107</f>
        <v>0</v>
      </c>
      <c r="Q107" s="137">
        <f>+N107-K107</f>
        <v>2</v>
      </c>
      <c r="R107" s="137">
        <f>+Q107-30</f>
        <v>-28</v>
      </c>
      <c r="S107" s="136">
        <v>29</v>
      </c>
      <c r="T107" s="138">
        <f>+P107*D107</f>
        <v>0</v>
      </c>
      <c r="U107" s="138">
        <f>+R107*D107</f>
        <v>-4200.28</v>
      </c>
      <c r="V107" s="136">
        <f>IF(P107&gt;30,200+S107,100+S107)</f>
        <v>129</v>
      </c>
      <c r="Y107" s="146"/>
    </row>
    <row r="108" spans="1:25" s="136" customFormat="1" ht="15">
      <c r="A108" s="147" t="s">
        <v>268</v>
      </c>
      <c r="B108" s="148">
        <v>43069</v>
      </c>
      <c r="C108" s="149" t="s">
        <v>530</v>
      </c>
      <c r="D108" s="150">
        <v>1108.17</v>
      </c>
      <c r="K108" s="151">
        <v>43069</v>
      </c>
      <c r="L108" s="145"/>
      <c r="M108" s="144">
        <v>43069</v>
      </c>
      <c r="N108" s="145">
        <f>+M108</f>
        <v>43069</v>
      </c>
      <c r="O108" s="137">
        <f>+M108-K108</f>
        <v>0</v>
      </c>
      <c r="P108" s="137">
        <f>+N108-M108</f>
        <v>0</v>
      </c>
      <c r="Q108" s="137">
        <f>+N108-K108</f>
        <v>0</v>
      </c>
      <c r="R108" s="137">
        <f>+Q108-30</f>
        <v>-30</v>
      </c>
      <c r="S108" s="136">
        <v>29</v>
      </c>
      <c r="T108" s="138">
        <f>+P108*D108</f>
        <v>0</v>
      </c>
      <c r="U108" s="138">
        <f>+R108*D108</f>
        <v>-33245.100000000006</v>
      </c>
      <c r="V108" s="136">
        <f>IF(P108&gt;30,200+S108,100+S108)</f>
        <v>129</v>
      </c>
      <c r="Y108" s="146"/>
    </row>
    <row r="109" spans="1:25" s="136" customFormat="1" ht="15">
      <c r="A109" s="147" t="s">
        <v>267</v>
      </c>
      <c r="B109" s="148">
        <v>43039</v>
      </c>
      <c r="C109" s="149" t="s">
        <v>529</v>
      </c>
      <c r="D109" s="150">
        <v>2093.31</v>
      </c>
      <c r="K109" s="151">
        <v>43069</v>
      </c>
      <c r="L109" s="145"/>
      <c r="M109" s="144">
        <v>43069</v>
      </c>
      <c r="N109" s="145">
        <f>+M109</f>
        <v>43069</v>
      </c>
      <c r="O109" s="137">
        <f>+M109-K109</f>
        <v>0</v>
      </c>
      <c r="P109" s="137">
        <f>+N109-M109</f>
        <v>0</v>
      </c>
      <c r="Q109" s="137">
        <f>+N109-K109</f>
        <v>0</v>
      </c>
      <c r="R109" s="137">
        <f>+Q109-30</f>
        <v>-30</v>
      </c>
      <c r="S109" s="136">
        <v>29</v>
      </c>
      <c r="T109" s="138">
        <f>+P109*D109</f>
        <v>0</v>
      </c>
      <c r="U109" s="138">
        <f>+R109*D109</f>
        <v>-62799.299999999996</v>
      </c>
      <c r="V109" s="136">
        <f>IF(P109&gt;30,200+S109,100+S109)</f>
        <v>129</v>
      </c>
      <c r="Y109" s="146"/>
    </row>
    <row r="110" spans="1:25" s="136" customFormat="1" ht="15">
      <c r="A110" s="147" t="s">
        <v>266</v>
      </c>
      <c r="B110" s="148">
        <v>43061</v>
      </c>
      <c r="C110" s="149" t="s">
        <v>528</v>
      </c>
      <c r="D110" s="150">
        <v>1274.64</v>
      </c>
      <c r="K110" s="151">
        <v>43060</v>
      </c>
      <c r="L110" s="145"/>
      <c r="M110" s="144">
        <v>43060</v>
      </c>
      <c r="N110" s="145">
        <f>+M110</f>
        <v>43060</v>
      </c>
      <c r="O110" s="137">
        <f>+M110-K110</f>
        <v>0</v>
      </c>
      <c r="P110" s="137">
        <f>+N110-M110</f>
        <v>0</v>
      </c>
      <c r="Q110" s="137">
        <f>+N110-K110</f>
        <v>0</v>
      </c>
      <c r="R110" s="137">
        <f>+Q110-30</f>
        <v>-30</v>
      </c>
      <c r="S110" s="136">
        <v>69</v>
      </c>
      <c r="T110" s="138">
        <f>+P110*D110</f>
        <v>0</v>
      </c>
      <c r="U110" s="138">
        <f>+R110*D110</f>
        <v>-38239.200000000004</v>
      </c>
      <c r="V110" s="136">
        <f>IF(P110&gt;30,200+S110,100+S110)</f>
        <v>169</v>
      </c>
      <c r="Y110" s="146"/>
    </row>
    <row r="111" spans="1:25" s="136" customFormat="1" ht="15">
      <c r="A111" s="147" t="s">
        <v>265</v>
      </c>
      <c r="B111" s="148">
        <v>43038</v>
      </c>
      <c r="C111" s="149" t="s">
        <v>527</v>
      </c>
      <c r="D111" s="150">
        <v>105</v>
      </c>
      <c r="K111" s="151">
        <v>43034</v>
      </c>
      <c r="L111" s="145"/>
      <c r="M111" s="144">
        <v>43034</v>
      </c>
      <c r="N111" s="145">
        <f>+M111</f>
        <v>43034</v>
      </c>
      <c r="O111" s="137">
        <f>+M111-K111</f>
        <v>0</v>
      </c>
      <c r="P111" s="137">
        <f>+N111-M111</f>
        <v>0</v>
      </c>
      <c r="Q111" s="137">
        <f>+N111-K111</f>
        <v>0</v>
      </c>
      <c r="R111" s="137">
        <f>+Q111-30</f>
        <v>-30</v>
      </c>
      <c r="S111" s="136">
        <v>21</v>
      </c>
      <c r="T111" s="138">
        <f>+P111*D111</f>
        <v>0</v>
      </c>
      <c r="U111" s="138">
        <f>+R111*D111</f>
        <v>-3150</v>
      </c>
      <c r="V111" s="136">
        <f>IF(P111&gt;30,200+S111,100+S111)</f>
        <v>121</v>
      </c>
      <c r="Y111" s="146"/>
    </row>
    <row r="112" spans="1:25" s="136" customFormat="1" ht="15">
      <c r="A112" s="147" t="s">
        <v>264</v>
      </c>
      <c r="B112" s="148">
        <v>43035</v>
      </c>
      <c r="C112" s="149" t="s">
        <v>526</v>
      </c>
      <c r="D112" s="150">
        <v>384.85</v>
      </c>
      <c r="K112" s="151">
        <v>43034</v>
      </c>
      <c r="L112" s="145"/>
      <c r="M112" s="144">
        <v>43034</v>
      </c>
      <c r="N112" s="145">
        <f>+M112</f>
        <v>43034</v>
      </c>
      <c r="O112" s="137">
        <f>+M112-K112</f>
        <v>0</v>
      </c>
      <c r="P112" s="137">
        <f>+N112-M112</f>
        <v>0</v>
      </c>
      <c r="Q112" s="137">
        <f>+N112-K112</f>
        <v>0</v>
      </c>
      <c r="R112" s="137">
        <f>+Q112-30</f>
        <v>-30</v>
      </c>
      <c r="S112" s="136">
        <v>69</v>
      </c>
      <c r="T112" s="138">
        <f>+P112*D112</f>
        <v>0</v>
      </c>
      <c r="U112" s="138">
        <f>+R112*D112</f>
        <v>-11545.5</v>
      </c>
      <c r="V112" s="136">
        <f>IF(P112&gt;30,200+S112,100+S112)</f>
        <v>169</v>
      </c>
      <c r="Y112" s="146"/>
    </row>
    <row r="113" spans="1:25" s="136" customFormat="1" ht="15">
      <c r="A113" s="147" t="s">
        <v>263</v>
      </c>
      <c r="B113" s="148">
        <v>43035</v>
      </c>
      <c r="C113" s="149" t="s">
        <v>525</v>
      </c>
      <c r="D113" s="150">
        <v>497.3</v>
      </c>
      <c r="K113" s="151">
        <v>43034</v>
      </c>
      <c r="L113" s="145"/>
      <c r="M113" s="144">
        <v>43034</v>
      </c>
      <c r="N113" s="145">
        <f>+M113</f>
        <v>43034</v>
      </c>
      <c r="O113" s="137">
        <f>+M113-K113</f>
        <v>0</v>
      </c>
      <c r="P113" s="137">
        <f>+N113-M113</f>
        <v>0</v>
      </c>
      <c r="Q113" s="137">
        <f>+N113-K113</f>
        <v>0</v>
      </c>
      <c r="R113" s="137">
        <f>+Q113-30</f>
        <v>-30</v>
      </c>
      <c r="S113" s="136">
        <v>69</v>
      </c>
      <c r="T113" s="138">
        <f>+P113*D113</f>
        <v>0</v>
      </c>
      <c r="U113" s="138">
        <f>+R113*D113</f>
        <v>-14919</v>
      </c>
      <c r="V113" s="136">
        <f>IF(P113&gt;30,200+S113,100+S113)</f>
        <v>169</v>
      </c>
      <c r="Y113" s="146"/>
    </row>
    <row r="114" spans="1:25" s="136" customFormat="1" ht="15">
      <c r="A114" s="147" t="s">
        <v>262</v>
      </c>
      <c r="B114" s="148">
        <v>43076</v>
      </c>
      <c r="C114" s="149" t="s">
        <v>524</v>
      </c>
      <c r="D114" s="150">
        <v>18.15</v>
      </c>
      <c r="K114" s="151">
        <v>43081</v>
      </c>
      <c r="L114" s="145"/>
      <c r="M114" s="144">
        <v>43081</v>
      </c>
      <c r="N114" s="145">
        <f>+M114</f>
        <v>43081</v>
      </c>
      <c r="O114" s="137">
        <f>+M114-K114</f>
        <v>0</v>
      </c>
      <c r="P114" s="137">
        <f>+N114-M114</f>
        <v>0</v>
      </c>
      <c r="Q114" s="137">
        <f>+N114-K114</f>
        <v>0</v>
      </c>
      <c r="R114" s="137">
        <f>+Q114-30</f>
        <v>-30</v>
      </c>
      <c r="S114" s="136">
        <v>21</v>
      </c>
      <c r="T114" s="138">
        <f>+P114*D114</f>
        <v>0</v>
      </c>
      <c r="U114" s="138">
        <f>+R114*D114</f>
        <v>-544.5</v>
      </c>
      <c r="V114" s="136">
        <f>IF(P114&gt;30,200+S114,100+S114)</f>
        <v>121</v>
      </c>
      <c r="Y114" s="146"/>
    </row>
    <row r="115" spans="1:25" s="136" customFormat="1" ht="15">
      <c r="A115" s="147" t="s">
        <v>261</v>
      </c>
      <c r="B115" s="148">
        <v>43056</v>
      </c>
      <c r="C115" s="149" t="s">
        <v>523</v>
      </c>
      <c r="D115" s="150">
        <v>87.01</v>
      </c>
      <c r="K115" s="151">
        <v>43060</v>
      </c>
      <c r="L115" s="145"/>
      <c r="M115" s="144">
        <v>43060</v>
      </c>
      <c r="N115" s="145">
        <f>+M115</f>
        <v>43060</v>
      </c>
      <c r="O115" s="137">
        <f>+M115-K115</f>
        <v>0</v>
      </c>
      <c r="P115" s="137">
        <f>+N115-M115</f>
        <v>0</v>
      </c>
      <c r="Q115" s="137">
        <f>+N115-K115</f>
        <v>0</v>
      </c>
      <c r="R115" s="137">
        <f>+Q115-30</f>
        <v>-30</v>
      </c>
      <c r="S115" s="136">
        <v>21</v>
      </c>
      <c r="T115" s="138">
        <f>+P115*D115</f>
        <v>0</v>
      </c>
      <c r="U115" s="138">
        <f>+R115*D115</f>
        <v>-2610.3</v>
      </c>
      <c r="V115" s="136">
        <f>IF(P115&gt;30,200+S115,100+S115)</f>
        <v>121</v>
      </c>
      <c r="Y115" s="146"/>
    </row>
    <row r="116" spans="1:25" s="136" customFormat="1" ht="15">
      <c r="A116" s="147" t="s">
        <v>260</v>
      </c>
      <c r="B116" s="148">
        <v>43055</v>
      </c>
      <c r="C116" s="149" t="s">
        <v>522</v>
      </c>
      <c r="D116" s="150">
        <v>44.71</v>
      </c>
      <c r="K116" s="151">
        <v>43059</v>
      </c>
      <c r="L116" s="145"/>
      <c r="M116" s="144">
        <v>43059</v>
      </c>
      <c r="N116" s="145">
        <f>+M116</f>
        <v>43059</v>
      </c>
      <c r="O116" s="137">
        <f>+M116-K116</f>
        <v>0</v>
      </c>
      <c r="P116" s="137">
        <f>+N116-M116</f>
        <v>0</v>
      </c>
      <c r="Q116" s="137">
        <f>+N116-K116</f>
        <v>0</v>
      </c>
      <c r="R116" s="137">
        <f>+Q116-30</f>
        <v>-30</v>
      </c>
      <c r="S116" s="136">
        <v>21</v>
      </c>
      <c r="T116" s="138">
        <f>+P116*D116</f>
        <v>0</v>
      </c>
      <c r="U116" s="138">
        <f>+R116*D116</f>
        <v>-1341.3</v>
      </c>
      <c r="V116" s="136">
        <f>IF(P116&gt;30,200+S116,100+S116)</f>
        <v>121</v>
      </c>
      <c r="Y116" s="146"/>
    </row>
    <row r="117" spans="1:25" s="136" customFormat="1" ht="15">
      <c r="A117" s="147" t="s">
        <v>259</v>
      </c>
      <c r="B117" s="148">
        <v>43049</v>
      </c>
      <c r="C117" s="149" t="s">
        <v>521</v>
      </c>
      <c r="D117" s="150">
        <v>769.56</v>
      </c>
      <c r="K117" s="151">
        <v>43053</v>
      </c>
      <c r="L117" s="145"/>
      <c r="M117" s="144">
        <v>43053</v>
      </c>
      <c r="N117" s="145">
        <f>+M117</f>
        <v>43053</v>
      </c>
      <c r="O117" s="137">
        <f>+M117-K117</f>
        <v>0</v>
      </c>
      <c r="P117" s="137">
        <f>+N117-M117</f>
        <v>0</v>
      </c>
      <c r="Q117" s="137">
        <f>+N117-K117</f>
        <v>0</v>
      </c>
      <c r="R117" s="137">
        <f>+Q117-30</f>
        <v>-30</v>
      </c>
      <c r="S117" s="136">
        <v>21</v>
      </c>
      <c r="T117" s="138">
        <f>+P117*D117</f>
        <v>0</v>
      </c>
      <c r="U117" s="138">
        <f>+R117*D117</f>
        <v>-23086.8</v>
      </c>
      <c r="V117" s="136">
        <f>IF(P117&gt;30,200+S117,100+S117)</f>
        <v>121</v>
      </c>
      <c r="Y117" s="146"/>
    </row>
    <row r="118" spans="1:25" s="136" customFormat="1" ht="15">
      <c r="A118" s="147" t="s">
        <v>258</v>
      </c>
      <c r="B118" s="148">
        <v>43042</v>
      </c>
      <c r="C118" s="149" t="s">
        <v>520</v>
      </c>
      <c r="D118" s="150">
        <v>43.56</v>
      </c>
      <c r="K118" s="151">
        <v>43046</v>
      </c>
      <c r="L118" s="145"/>
      <c r="M118" s="144">
        <v>43046</v>
      </c>
      <c r="N118" s="145">
        <f>+M118</f>
        <v>43046</v>
      </c>
      <c r="O118" s="137">
        <f>+M118-K118</f>
        <v>0</v>
      </c>
      <c r="P118" s="137">
        <f>+N118-M118</f>
        <v>0</v>
      </c>
      <c r="Q118" s="137">
        <f>+N118-K118</f>
        <v>0</v>
      </c>
      <c r="R118" s="137">
        <f>+Q118-30</f>
        <v>-30</v>
      </c>
      <c r="S118" s="136">
        <v>21</v>
      </c>
      <c r="T118" s="138">
        <f>+P118*D118</f>
        <v>0</v>
      </c>
      <c r="U118" s="138">
        <f>+R118*D118</f>
        <v>-1306.8000000000002</v>
      </c>
      <c r="V118" s="136">
        <f>IF(P118&gt;30,200+S118,100+S118)</f>
        <v>121</v>
      </c>
      <c r="Y118" s="146"/>
    </row>
    <row r="119" spans="1:25" s="136" customFormat="1" ht="15">
      <c r="A119" s="147" t="s">
        <v>257</v>
      </c>
      <c r="B119" s="148">
        <v>43038</v>
      </c>
      <c r="C119" s="149" t="s">
        <v>519</v>
      </c>
      <c r="D119" s="150">
        <v>9.12</v>
      </c>
      <c r="K119" s="151">
        <v>43040</v>
      </c>
      <c r="L119" s="145"/>
      <c r="M119" s="144">
        <v>43040</v>
      </c>
      <c r="N119" s="145">
        <f>+M119</f>
        <v>43040</v>
      </c>
      <c r="O119" s="137">
        <f>+M119-K119</f>
        <v>0</v>
      </c>
      <c r="P119" s="137">
        <f>+N119-M119</f>
        <v>0</v>
      </c>
      <c r="Q119" s="137">
        <f>+N119-K119</f>
        <v>0</v>
      </c>
      <c r="R119" s="137">
        <f>+Q119-30</f>
        <v>-30</v>
      </c>
      <c r="S119" s="136">
        <v>21</v>
      </c>
      <c r="T119" s="138">
        <f>+P119*D119</f>
        <v>0</v>
      </c>
      <c r="U119" s="138">
        <f>+R119*D119</f>
        <v>-273.59999999999997</v>
      </c>
      <c r="V119" s="136">
        <f>IF(P119&gt;30,200+S119,100+S119)</f>
        <v>121</v>
      </c>
      <c r="Y119" s="146"/>
    </row>
    <row r="120" spans="1:25" s="136" customFormat="1" ht="15">
      <c r="A120" s="147" t="s">
        <v>256</v>
      </c>
      <c r="B120" s="148">
        <v>43034</v>
      </c>
      <c r="C120" s="149" t="s">
        <v>518</v>
      </c>
      <c r="D120" s="150">
        <v>1197.91</v>
      </c>
      <c r="K120" s="151">
        <v>43042</v>
      </c>
      <c r="L120" s="145"/>
      <c r="M120" s="144">
        <v>43042</v>
      </c>
      <c r="N120" s="145">
        <f>+M120</f>
        <v>43042</v>
      </c>
      <c r="O120" s="137">
        <f>+M120-K120</f>
        <v>0</v>
      </c>
      <c r="P120" s="137">
        <f>+N120-M120</f>
        <v>0</v>
      </c>
      <c r="Q120" s="137">
        <f>+N120-K120</f>
        <v>0</v>
      </c>
      <c r="R120" s="137">
        <f>+Q120-30</f>
        <v>-30</v>
      </c>
      <c r="S120" s="136">
        <v>69</v>
      </c>
      <c r="T120" s="138">
        <f>+P120*D120</f>
        <v>0</v>
      </c>
      <c r="U120" s="138">
        <f>+R120*D120</f>
        <v>-35937.3</v>
      </c>
      <c r="V120" s="136">
        <f>IF(P120&gt;30,200+S120,100+S120)</f>
        <v>169</v>
      </c>
      <c r="Y120" s="146"/>
    </row>
    <row r="121" spans="1:25" s="136" customFormat="1" ht="15">
      <c r="A121" s="147" t="s">
        <v>255</v>
      </c>
      <c r="B121" s="148">
        <v>43069</v>
      </c>
      <c r="C121" s="149" t="s">
        <v>517</v>
      </c>
      <c r="D121" s="150">
        <v>1400</v>
      </c>
      <c r="K121" s="151">
        <v>43089</v>
      </c>
      <c r="L121" s="145"/>
      <c r="M121" s="144">
        <v>42916</v>
      </c>
      <c r="N121" s="145">
        <f>+M121</f>
        <v>42916</v>
      </c>
      <c r="O121" s="137">
        <f>+M121-K121</f>
        <v>-173</v>
      </c>
      <c r="P121" s="137">
        <f>+N121-M121</f>
        <v>0</v>
      </c>
      <c r="Q121" s="137">
        <f>+N121-K121</f>
        <v>-173</v>
      </c>
      <c r="R121" s="137">
        <f>+Q121-30</f>
        <v>-203</v>
      </c>
      <c r="S121" s="136">
        <v>29</v>
      </c>
      <c r="T121" s="138">
        <f>+P121*D121</f>
        <v>0</v>
      </c>
      <c r="U121" s="138">
        <f>+R121*D121</f>
        <v>-284200</v>
      </c>
      <c r="V121" s="136">
        <f>IF(P121&gt;30,200+S121,100+S121)</f>
        <v>129</v>
      </c>
      <c r="Y121" s="146"/>
    </row>
    <row r="122" spans="1:25" s="136" customFormat="1" ht="15">
      <c r="A122" s="147" t="s">
        <v>254</v>
      </c>
      <c r="B122" s="148">
        <v>43074</v>
      </c>
      <c r="C122" s="149" t="s">
        <v>516</v>
      </c>
      <c r="D122" s="150">
        <v>326.71</v>
      </c>
      <c r="K122" s="151">
        <v>43089</v>
      </c>
      <c r="L122" s="145"/>
      <c r="M122" s="144">
        <v>43090</v>
      </c>
      <c r="N122" s="145">
        <f>+M122</f>
        <v>43090</v>
      </c>
      <c r="O122" s="137">
        <f>+M122-K122</f>
        <v>1</v>
      </c>
      <c r="P122" s="137">
        <f>+N122-M122</f>
        <v>0</v>
      </c>
      <c r="Q122" s="137">
        <f>+N122-K122</f>
        <v>1</v>
      </c>
      <c r="R122" s="137">
        <f>+Q122-30</f>
        <v>-29</v>
      </c>
      <c r="S122" s="136">
        <v>29</v>
      </c>
      <c r="T122" s="138">
        <f>+P122*D122</f>
        <v>0</v>
      </c>
      <c r="U122" s="138">
        <f>+R122*D122</f>
        <v>-9474.59</v>
      </c>
      <c r="V122" s="136">
        <f>IF(P122&gt;30,200+S122,100+S122)</f>
        <v>129</v>
      </c>
      <c r="Y122" s="146"/>
    </row>
    <row r="123" spans="1:25" s="136" customFormat="1" ht="15">
      <c r="A123" s="147" t="s">
        <v>252</v>
      </c>
      <c r="B123" s="148">
        <v>43069</v>
      </c>
      <c r="C123" s="149" t="s">
        <v>514</v>
      </c>
      <c r="D123" s="150">
        <v>10.68</v>
      </c>
      <c r="K123" s="151">
        <v>43090</v>
      </c>
      <c r="L123" s="145"/>
      <c r="M123" s="144">
        <v>43096</v>
      </c>
      <c r="N123" s="145">
        <f>+M123</f>
        <v>43096</v>
      </c>
      <c r="O123" s="137">
        <f>+M123-K123</f>
        <v>6</v>
      </c>
      <c r="P123" s="137">
        <f>+N123-M123</f>
        <v>0</v>
      </c>
      <c r="Q123" s="137">
        <f>+N123-K123</f>
        <v>6</v>
      </c>
      <c r="R123" s="137">
        <f>+Q123-30</f>
        <v>-24</v>
      </c>
      <c r="S123" s="136">
        <v>21</v>
      </c>
      <c r="T123" s="138">
        <f>+P123*D123</f>
        <v>0</v>
      </c>
      <c r="U123" s="138">
        <f>+R123*D123</f>
        <v>-256.32</v>
      </c>
      <c r="V123" s="136">
        <f>IF(P123&gt;30,200+S123,100+S123)</f>
        <v>121</v>
      </c>
      <c r="Y123" s="146"/>
    </row>
    <row r="124" spans="1:25" s="136" customFormat="1" ht="15">
      <c r="A124" s="147" t="s">
        <v>251</v>
      </c>
      <c r="B124" s="148">
        <v>43088</v>
      </c>
      <c r="C124" s="149" t="s">
        <v>513</v>
      </c>
      <c r="D124" s="150">
        <v>1739.74</v>
      </c>
      <c r="K124" s="151">
        <v>43089</v>
      </c>
      <c r="L124" s="145"/>
      <c r="M124" s="144">
        <v>43089</v>
      </c>
      <c r="N124" s="145">
        <f>+M124</f>
        <v>43089</v>
      </c>
      <c r="O124" s="137">
        <f>+M124-K124</f>
        <v>0</v>
      </c>
      <c r="P124" s="137">
        <f>+N124-M124</f>
        <v>0</v>
      </c>
      <c r="Q124" s="137">
        <f>+N124-K124</f>
        <v>0</v>
      </c>
      <c r="R124" s="137">
        <f>+Q124-30</f>
        <v>-30</v>
      </c>
      <c r="S124" s="136">
        <v>69</v>
      </c>
      <c r="T124" s="138">
        <f>+P124*D124</f>
        <v>0</v>
      </c>
      <c r="U124" s="138">
        <f>+R124*D124</f>
        <v>-52192.2</v>
      </c>
      <c r="V124" s="136">
        <f>IF(P124&gt;30,200+S124,100+S124)</f>
        <v>169</v>
      </c>
      <c r="Y124" s="146"/>
    </row>
    <row r="125" spans="1:25" s="136" customFormat="1" ht="15">
      <c r="A125" s="147" t="s">
        <v>250</v>
      </c>
      <c r="B125" s="148">
        <v>43088</v>
      </c>
      <c r="C125" s="149" t="s">
        <v>512</v>
      </c>
      <c r="D125" s="150">
        <v>52.4</v>
      </c>
      <c r="K125" s="151">
        <v>43088</v>
      </c>
      <c r="L125" s="145"/>
      <c r="M125" s="144">
        <v>43088</v>
      </c>
      <c r="N125" s="145">
        <f>+M125</f>
        <v>43088</v>
      </c>
      <c r="O125" s="137">
        <f>+M125-K125</f>
        <v>0</v>
      </c>
      <c r="P125" s="137">
        <f>+N125-M125</f>
        <v>0</v>
      </c>
      <c r="Q125" s="137">
        <f>+N125-K125</f>
        <v>0</v>
      </c>
      <c r="R125" s="137">
        <f>+Q125-30</f>
        <v>-30</v>
      </c>
      <c r="S125" s="136">
        <v>29</v>
      </c>
      <c r="T125" s="138">
        <f>+P125*D125</f>
        <v>0</v>
      </c>
      <c r="U125" s="138">
        <f>+R125*D125</f>
        <v>-1572</v>
      </c>
      <c r="V125" s="136">
        <f>IF(P125&gt;30,200+S125,100+S125)</f>
        <v>129</v>
      </c>
      <c r="Y125" s="146"/>
    </row>
    <row r="126" spans="1:25" s="136" customFormat="1" ht="15">
      <c r="A126" s="147" t="s">
        <v>249</v>
      </c>
      <c r="B126" s="148">
        <v>43084</v>
      </c>
      <c r="C126" s="149" t="s">
        <v>511</v>
      </c>
      <c r="D126" s="150">
        <v>3569.51</v>
      </c>
      <c r="K126" s="151">
        <v>43090</v>
      </c>
      <c r="L126" s="145"/>
      <c r="M126" s="144">
        <v>43098</v>
      </c>
      <c r="N126" s="145">
        <f>+M126</f>
        <v>43098</v>
      </c>
      <c r="O126" s="137">
        <f>+M126-K126</f>
        <v>8</v>
      </c>
      <c r="P126" s="137">
        <f>+N126-M126</f>
        <v>0</v>
      </c>
      <c r="Q126" s="137">
        <f>+N126-K126</f>
        <v>8</v>
      </c>
      <c r="R126" s="137">
        <f>+Q126-30</f>
        <v>-22</v>
      </c>
      <c r="S126" s="136">
        <v>29</v>
      </c>
      <c r="T126" s="138">
        <f>+P126*D126</f>
        <v>0</v>
      </c>
      <c r="U126" s="138">
        <f>+R126*D126</f>
        <v>-78529.22</v>
      </c>
      <c r="V126" s="136">
        <f>IF(P126&gt;30,200+S126,100+S126)</f>
        <v>129</v>
      </c>
      <c r="Y126" s="146"/>
    </row>
    <row r="127" spans="1:25" s="136" customFormat="1" ht="15">
      <c r="A127" s="147" t="s">
        <v>248</v>
      </c>
      <c r="B127" s="148">
        <v>43080</v>
      </c>
      <c r="C127" s="149" t="s">
        <v>510</v>
      </c>
      <c r="D127" s="150">
        <v>165.51</v>
      </c>
      <c r="K127" s="151">
        <v>43090</v>
      </c>
      <c r="L127" s="145"/>
      <c r="M127" s="144">
        <v>43098</v>
      </c>
      <c r="N127" s="145">
        <f>+M127</f>
        <v>43098</v>
      </c>
      <c r="O127" s="137">
        <f>+M127-K127</f>
        <v>8</v>
      </c>
      <c r="P127" s="137">
        <f>+N127-M127</f>
        <v>0</v>
      </c>
      <c r="Q127" s="137">
        <f>+N127-K127</f>
        <v>8</v>
      </c>
      <c r="R127" s="137">
        <f>+Q127-30</f>
        <v>-22</v>
      </c>
      <c r="S127" s="136">
        <v>69</v>
      </c>
      <c r="T127" s="138">
        <f>+P127*D127</f>
        <v>0</v>
      </c>
      <c r="U127" s="138">
        <f>+R127*D127</f>
        <v>-3641.22</v>
      </c>
      <c r="V127" s="136">
        <f>IF(P127&gt;30,200+S127,100+S127)</f>
        <v>169</v>
      </c>
      <c r="Y127" s="146"/>
    </row>
    <row r="128" spans="1:22" s="136" customFormat="1" ht="15">
      <c r="A128" s="147" t="s">
        <v>247</v>
      </c>
      <c r="B128" s="148">
        <v>43009</v>
      </c>
      <c r="C128" s="149" t="s">
        <v>509</v>
      </c>
      <c r="D128" s="150">
        <v>69.35</v>
      </c>
      <c r="K128" s="151">
        <v>43052</v>
      </c>
      <c r="L128" s="145"/>
      <c r="M128" s="144">
        <v>43052</v>
      </c>
      <c r="N128" s="145">
        <f>+M128</f>
        <v>43052</v>
      </c>
      <c r="O128" s="137">
        <f>+M128-K128</f>
        <v>0</v>
      </c>
      <c r="P128" s="137">
        <f>+N128-M128</f>
        <v>0</v>
      </c>
      <c r="Q128" s="137">
        <f>+N128-K128</f>
        <v>0</v>
      </c>
      <c r="R128" s="137">
        <f>+Q128-30</f>
        <v>-30</v>
      </c>
      <c r="S128" s="136">
        <v>29</v>
      </c>
      <c r="T128" s="138">
        <f>+P128*D128</f>
        <v>0</v>
      </c>
      <c r="U128" s="138">
        <f>+R128*D128</f>
        <v>-2080.5</v>
      </c>
      <c r="V128" s="136">
        <f>IF(P128&gt;30,200+S128,100+S128)</f>
        <v>129</v>
      </c>
    </row>
    <row r="129" spans="1:22" s="133" customFormat="1" ht="15">
      <c r="A129" s="147" t="s">
        <v>241</v>
      </c>
      <c r="B129" s="148">
        <v>43069</v>
      </c>
      <c r="C129" s="149" t="s">
        <v>503</v>
      </c>
      <c r="D129" s="150">
        <v>66.61</v>
      </c>
      <c r="K129" s="151">
        <v>43066</v>
      </c>
      <c r="L129" s="97"/>
      <c r="M129" s="144">
        <v>43066</v>
      </c>
      <c r="N129" s="145">
        <f>+M129</f>
        <v>43066</v>
      </c>
      <c r="O129" s="137">
        <f>+M129-K129</f>
        <v>0</v>
      </c>
      <c r="P129" s="137">
        <f>+N129-M129</f>
        <v>0</v>
      </c>
      <c r="Q129" s="137">
        <f>+N129-K129</f>
        <v>0</v>
      </c>
      <c r="R129" s="137">
        <f>+Q129-30</f>
        <v>-30</v>
      </c>
      <c r="S129" s="133">
        <v>29</v>
      </c>
      <c r="T129" s="138">
        <f>+P129*D129</f>
        <v>0</v>
      </c>
      <c r="U129" s="138">
        <f>+R129*D129</f>
        <v>-1998.3</v>
      </c>
      <c r="V129" s="136">
        <f>IF(P129&gt;30,200+S129,100+S129)</f>
        <v>129</v>
      </c>
    </row>
    <row r="130" spans="1:22" s="133" customFormat="1" ht="15">
      <c r="A130" s="147" t="s">
        <v>238</v>
      </c>
      <c r="B130" s="148">
        <v>43069</v>
      </c>
      <c r="C130" s="149" t="s">
        <v>500</v>
      </c>
      <c r="D130" s="150">
        <v>222.04</v>
      </c>
      <c r="K130" s="151">
        <v>43069</v>
      </c>
      <c r="L130" s="97"/>
      <c r="M130" s="144">
        <v>43069</v>
      </c>
      <c r="N130" s="145">
        <f>+M130</f>
        <v>43069</v>
      </c>
      <c r="O130" s="137">
        <f>+M130-K130</f>
        <v>0</v>
      </c>
      <c r="P130" s="137">
        <f>+N130-M130</f>
        <v>0</v>
      </c>
      <c r="Q130" s="137">
        <f>+N130-K130</f>
        <v>0</v>
      </c>
      <c r="R130" s="137">
        <f>+Q130-30</f>
        <v>-30</v>
      </c>
      <c r="S130" s="133">
        <v>29</v>
      </c>
      <c r="T130" s="138">
        <f>+P130*D130</f>
        <v>0</v>
      </c>
      <c r="U130" s="138">
        <f>+R130*D130</f>
        <v>-6661.2</v>
      </c>
      <c r="V130" s="136">
        <f>IF(P130&gt;30,200+S130,100+S130)</f>
        <v>129</v>
      </c>
    </row>
    <row r="131" spans="1:22" s="133" customFormat="1" ht="15">
      <c r="A131" s="147" t="s">
        <v>237</v>
      </c>
      <c r="B131" s="148">
        <v>43070</v>
      </c>
      <c r="C131" s="149" t="s">
        <v>499</v>
      </c>
      <c r="D131" s="150">
        <v>56.86</v>
      </c>
      <c r="K131" s="151">
        <v>43073</v>
      </c>
      <c r="L131" s="97"/>
      <c r="M131" s="144">
        <v>43073</v>
      </c>
      <c r="N131" s="145">
        <f>+M131</f>
        <v>43073</v>
      </c>
      <c r="O131" s="137">
        <f>+M131-K131</f>
        <v>0</v>
      </c>
      <c r="P131" s="137">
        <f>+N131-M131</f>
        <v>0</v>
      </c>
      <c r="Q131" s="137">
        <f>+N131-K131</f>
        <v>0</v>
      </c>
      <c r="R131" s="137">
        <f>+Q131-30</f>
        <v>-30</v>
      </c>
      <c r="S131" s="133">
        <v>21</v>
      </c>
      <c r="T131" s="138">
        <f>+P131*D131</f>
        <v>0</v>
      </c>
      <c r="U131" s="138">
        <f>+R131*D131</f>
        <v>-1705.8</v>
      </c>
      <c r="V131" s="136">
        <f>IF(P131&gt;30,200+S131,100+S131)</f>
        <v>121</v>
      </c>
    </row>
    <row r="132" spans="1:22" s="133" customFormat="1" ht="15">
      <c r="A132" s="147" t="s">
        <v>236</v>
      </c>
      <c r="B132" s="148">
        <v>43069</v>
      </c>
      <c r="C132" s="149" t="s">
        <v>498</v>
      </c>
      <c r="D132" s="150">
        <v>194.5</v>
      </c>
      <c r="K132" s="151">
        <v>43089</v>
      </c>
      <c r="L132" s="97"/>
      <c r="M132" s="144">
        <v>43089</v>
      </c>
      <c r="N132" s="145">
        <f>+M132</f>
        <v>43089</v>
      </c>
      <c r="O132" s="137">
        <f>+M132-K132</f>
        <v>0</v>
      </c>
      <c r="P132" s="137">
        <f>+N132-M132</f>
        <v>0</v>
      </c>
      <c r="Q132" s="137">
        <f>+N132-K132</f>
        <v>0</v>
      </c>
      <c r="R132" s="137">
        <f>+Q132-30</f>
        <v>-30</v>
      </c>
      <c r="S132" s="133">
        <v>29</v>
      </c>
      <c r="T132" s="138">
        <f>+P132*D132</f>
        <v>0</v>
      </c>
      <c r="U132" s="138">
        <f>+R132*D132</f>
        <v>-5835</v>
      </c>
      <c r="V132" s="136">
        <f>IF(P132&gt;30,200+S132,100+S132)</f>
        <v>129</v>
      </c>
    </row>
    <row r="133" spans="1:22" s="133" customFormat="1" ht="15">
      <c r="A133" s="147" t="s">
        <v>231</v>
      </c>
      <c r="B133" s="148">
        <v>43069</v>
      </c>
      <c r="C133" s="149" t="s">
        <v>493</v>
      </c>
      <c r="D133" s="150">
        <v>55.18</v>
      </c>
      <c r="K133" s="151">
        <v>43084</v>
      </c>
      <c r="L133" s="97"/>
      <c r="M133" s="144">
        <v>43084</v>
      </c>
      <c r="N133" s="145">
        <f>+M133</f>
        <v>43084</v>
      </c>
      <c r="O133" s="137">
        <f>+M133-K133</f>
        <v>0</v>
      </c>
      <c r="P133" s="137">
        <f>+N133-M133</f>
        <v>0</v>
      </c>
      <c r="Q133" s="137">
        <f>+N133-K133</f>
        <v>0</v>
      </c>
      <c r="R133" s="137">
        <f>+Q133-30</f>
        <v>-30</v>
      </c>
      <c r="S133" s="133">
        <v>29</v>
      </c>
      <c r="T133" s="138">
        <f>+P133*D133</f>
        <v>0</v>
      </c>
      <c r="U133" s="138">
        <f>+R133*D133</f>
        <v>-1655.4</v>
      </c>
      <c r="V133" s="136">
        <f>IF(P133&gt;30,200+S133,100+S133)</f>
        <v>129</v>
      </c>
    </row>
    <row r="134" spans="1:22" s="133" customFormat="1" ht="15">
      <c r="A134" s="147" t="s">
        <v>227</v>
      </c>
      <c r="B134" s="148">
        <v>43039</v>
      </c>
      <c r="C134" s="149" t="s">
        <v>489</v>
      </c>
      <c r="D134" s="150">
        <v>78.19</v>
      </c>
      <c r="K134" s="151">
        <v>43046</v>
      </c>
      <c r="L134" s="97"/>
      <c r="M134" s="144">
        <v>43046</v>
      </c>
      <c r="N134" s="145">
        <f>+M134</f>
        <v>43046</v>
      </c>
      <c r="O134" s="137">
        <f>+M134-K134</f>
        <v>0</v>
      </c>
      <c r="P134" s="137">
        <f>+N134-M134</f>
        <v>0</v>
      </c>
      <c r="Q134" s="137">
        <f>+N134-K134</f>
        <v>0</v>
      </c>
      <c r="R134" s="137">
        <f>+Q134-30</f>
        <v>-30</v>
      </c>
      <c r="S134" s="133">
        <v>29</v>
      </c>
      <c r="T134" s="138">
        <f>+P134*D134</f>
        <v>0</v>
      </c>
      <c r="U134" s="138">
        <f>+R134*D134</f>
        <v>-2345.7</v>
      </c>
      <c r="V134" s="136">
        <f>IF(P134&gt;30,200+S134,100+S134)</f>
        <v>129</v>
      </c>
    </row>
    <row r="135" spans="1:22" s="133" customFormat="1" ht="15">
      <c r="A135" s="147" t="s">
        <v>225</v>
      </c>
      <c r="B135" s="148">
        <v>43039</v>
      </c>
      <c r="C135" s="149" t="s">
        <v>487</v>
      </c>
      <c r="D135" s="150">
        <v>343.17</v>
      </c>
      <c r="K135" s="151">
        <v>43070</v>
      </c>
      <c r="L135" s="97"/>
      <c r="M135" s="144">
        <v>43070</v>
      </c>
      <c r="N135" s="145">
        <f>+M135</f>
        <v>43070</v>
      </c>
      <c r="O135" s="137">
        <f>+M135-K135</f>
        <v>0</v>
      </c>
      <c r="P135" s="137">
        <f>+N135-M135</f>
        <v>0</v>
      </c>
      <c r="Q135" s="137">
        <f>+N135-K135</f>
        <v>0</v>
      </c>
      <c r="R135" s="137">
        <f>+Q135-30</f>
        <v>-30</v>
      </c>
      <c r="S135" s="133">
        <v>22</v>
      </c>
      <c r="T135" s="138">
        <f>+P135*D135</f>
        <v>0</v>
      </c>
      <c r="U135" s="138">
        <f>+R135*D135</f>
        <v>-10295.1</v>
      </c>
      <c r="V135" s="136">
        <f>IF(P135&gt;30,200+S135,100+S135)</f>
        <v>122</v>
      </c>
    </row>
    <row r="136" spans="1:22" s="133" customFormat="1" ht="15">
      <c r="A136" s="147" t="s">
        <v>224</v>
      </c>
      <c r="B136" s="148">
        <v>43069</v>
      </c>
      <c r="C136" s="149" t="s">
        <v>486</v>
      </c>
      <c r="D136" s="150">
        <v>1807.5</v>
      </c>
      <c r="K136" s="151">
        <v>43069</v>
      </c>
      <c r="L136" s="97"/>
      <c r="M136" s="144">
        <v>43069</v>
      </c>
      <c r="N136" s="145">
        <f>+M136</f>
        <v>43069</v>
      </c>
      <c r="O136" s="137">
        <f>+M136-K136</f>
        <v>0</v>
      </c>
      <c r="P136" s="137">
        <f>+N136-M136</f>
        <v>0</v>
      </c>
      <c r="Q136" s="137">
        <f>+N136-K136</f>
        <v>0</v>
      </c>
      <c r="R136" s="137">
        <f>+Q136-30</f>
        <v>-30</v>
      </c>
      <c r="S136" s="133">
        <v>29</v>
      </c>
      <c r="T136" s="138">
        <f>+P136*D136</f>
        <v>0</v>
      </c>
      <c r="U136" s="138">
        <f>+R136*D136</f>
        <v>-54225</v>
      </c>
      <c r="V136" s="136">
        <f>IF(P136&gt;30,200+S136,100+S136)</f>
        <v>129</v>
      </c>
    </row>
    <row r="137" spans="1:22" s="133" customFormat="1" ht="15">
      <c r="A137" s="147" t="s">
        <v>223</v>
      </c>
      <c r="B137" s="148">
        <v>43039</v>
      </c>
      <c r="C137" s="149" t="s">
        <v>485</v>
      </c>
      <c r="D137" s="150">
        <v>1668.35</v>
      </c>
      <c r="K137" s="151">
        <v>43039</v>
      </c>
      <c r="L137" s="97"/>
      <c r="M137" s="144">
        <v>43039</v>
      </c>
      <c r="N137" s="145">
        <f>+M137</f>
        <v>43039</v>
      </c>
      <c r="O137" s="137">
        <f>+M137-K137</f>
        <v>0</v>
      </c>
      <c r="P137" s="137">
        <f>+N137-M137</f>
        <v>0</v>
      </c>
      <c r="Q137" s="137">
        <f>+N137-K137</f>
        <v>0</v>
      </c>
      <c r="R137" s="137">
        <f>+Q137-30</f>
        <v>-30</v>
      </c>
      <c r="S137" s="133">
        <v>29</v>
      </c>
      <c r="T137" s="138">
        <f>+P137*D137</f>
        <v>0</v>
      </c>
      <c r="U137" s="138">
        <f>+R137*D137</f>
        <v>-50050.5</v>
      </c>
      <c r="V137" s="136">
        <f>IF(P137&gt;30,200+S137,100+S137)</f>
        <v>129</v>
      </c>
    </row>
    <row r="138" spans="1:22" ht="15">
      <c r="A138" s="147" t="s">
        <v>219</v>
      </c>
      <c r="B138" s="148">
        <v>43076</v>
      </c>
      <c r="C138" s="149" t="s">
        <v>476</v>
      </c>
      <c r="D138" s="150">
        <v>968</v>
      </c>
      <c r="K138" s="151">
        <v>43069</v>
      </c>
      <c r="M138" s="155">
        <v>43069</v>
      </c>
      <c r="N138" s="156">
        <f>+M138</f>
        <v>43069</v>
      </c>
      <c r="O138" s="137">
        <f>+M138-K138</f>
        <v>0</v>
      </c>
      <c r="P138" s="137">
        <f>+N138-M138</f>
        <v>0</v>
      </c>
      <c r="Q138" s="137">
        <f>+N138-K138</f>
        <v>0</v>
      </c>
      <c r="R138" s="137">
        <f>+Q138-30</f>
        <v>-30</v>
      </c>
      <c r="S138" s="2">
        <v>20</v>
      </c>
      <c r="T138" s="138">
        <f>+P138*D138</f>
        <v>0</v>
      </c>
      <c r="U138" s="138">
        <f>+R138*D138</f>
        <v>-29040</v>
      </c>
      <c r="V138" s="136">
        <f>IF(P138&gt;30,200+S138,100+S138)</f>
        <v>120</v>
      </c>
    </row>
    <row r="139" spans="1:22" ht="15">
      <c r="A139" s="147" t="s">
        <v>218</v>
      </c>
      <c r="B139" s="148">
        <v>43069</v>
      </c>
      <c r="C139" s="149" t="s">
        <v>481</v>
      </c>
      <c r="D139" s="150">
        <v>2093.31</v>
      </c>
      <c r="K139" s="151">
        <v>43098</v>
      </c>
      <c r="M139" s="155">
        <v>43098</v>
      </c>
      <c r="N139" s="156">
        <f>+M139</f>
        <v>43098</v>
      </c>
      <c r="O139" s="137">
        <f>+M139-K139</f>
        <v>0</v>
      </c>
      <c r="P139" s="137">
        <f>+N139-M139</f>
        <v>0</v>
      </c>
      <c r="Q139" s="137">
        <f>+N139-K139</f>
        <v>0</v>
      </c>
      <c r="R139" s="137">
        <f>+Q139-30</f>
        <v>-30</v>
      </c>
      <c r="S139" s="2">
        <v>29</v>
      </c>
      <c r="T139" s="138">
        <f>+P139*D139</f>
        <v>0</v>
      </c>
      <c r="U139" s="138">
        <f>+R139*D139</f>
        <v>-62799.299999999996</v>
      </c>
      <c r="V139" s="136">
        <f>IF(P139&gt;30,200+S139,100+S139)</f>
        <v>129</v>
      </c>
    </row>
    <row r="140" spans="1:22" ht="15">
      <c r="A140" s="147" t="s">
        <v>214</v>
      </c>
      <c r="B140" s="148">
        <v>43070</v>
      </c>
      <c r="C140" s="149" t="s">
        <v>477</v>
      </c>
      <c r="D140" s="150">
        <v>153.86</v>
      </c>
      <c r="K140" s="151">
        <v>43070</v>
      </c>
      <c r="M140" s="155">
        <v>43070</v>
      </c>
      <c r="N140" s="156">
        <f>+M140</f>
        <v>43070</v>
      </c>
      <c r="O140" s="137">
        <f>+M140-K140</f>
        <v>0</v>
      </c>
      <c r="P140" s="137">
        <f>+N140-M140</f>
        <v>0</v>
      </c>
      <c r="Q140" s="137">
        <f>+N140-K140</f>
        <v>0</v>
      </c>
      <c r="R140" s="137">
        <f>+Q140-30</f>
        <v>-30</v>
      </c>
      <c r="S140" s="2">
        <v>29</v>
      </c>
      <c r="T140" s="138">
        <f>+P140*D140</f>
        <v>0</v>
      </c>
      <c r="U140" s="138">
        <f>+R140*D140</f>
        <v>-4615.8</v>
      </c>
      <c r="V140" s="136">
        <f>IF(P140&gt;30,200+S140,100+S140)</f>
        <v>129</v>
      </c>
    </row>
    <row r="141" spans="1:22" ht="15">
      <c r="A141" s="147" t="s">
        <v>212</v>
      </c>
      <c r="B141" s="148">
        <v>43088</v>
      </c>
      <c r="C141" s="149" t="s">
        <v>475</v>
      </c>
      <c r="D141" s="150">
        <v>58.4</v>
      </c>
      <c r="K141" s="151">
        <v>43088</v>
      </c>
      <c r="M141" s="155">
        <v>43088</v>
      </c>
      <c r="N141" s="156">
        <f>+M141</f>
        <v>43088</v>
      </c>
      <c r="O141" s="137">
        <f>+M141-K141</f>
        <v>0</v>
      </c>
      <c r="P141" s="137">
        <f>+N141-M141</f>
        <v>0</v>
      </c>
      <c r="Q141" s="137">
        <f>+N141-K141</f>
        <v>0</v>
      </c>
      <c r="R141" s="137">
        <f>+Q141-30</f>
        <v>-30</v>
      </c>
      <c r="S141" s="2">
        <v>29</v>
      </c>
      <c r="T141" s="138">
        <f>+P141*D141</f>
        <v>0</v>
      </c>
      <c r="U141" s="138">
        <f>+R141*D141</f>
        <v>-1752</v>
      </c>
      <c r="V141" s="136">
        <f>IF(P141&gt;30,200+S141,100+S141)</f>
        <v>129</v>
      </c>
    </row>
    <row r="142" spans="1:22" ht="15">
      <c r="A142" s="147" t="s">
        <v>207</v>
      </c>
      <c r="B142" s="148">
        <v>43084</v>
      </c>
      <c r="C142" s="149" t="s">
        <v>470</v>
      </c>
      <c r="D142" s="150">
        <v>114.88</v>
      </c>
      <c r="K142" s="151">
        <v>43087</v>
      </c>
      <c r="M142" s="155">
        <v>43087</v>
      </c>
      <c r="N142" s="156">
        <f>+M142</f>
        <v>43087</v>
      </c>
      <c r="O142" s="137">
        <f>+M142-K142</f>
        <v>0</v>
      </c>
      <c r="P142" s="137">
        <f>+N142-M142</f>
        <v>0</v>
      </c>
      <c r="Q142" s="137">
        <f>+N142-K142</f>
        <v>0</v>
      </c>
      <c r="R142" s="137">
        <f>+Q142-30</f>
        <v>-30</v>
      </c>
      <c r="S142" s="2">
        <v>29</v>
      </c>
      <c r="T142" s="138">
        <f>+P142*D142</f>
        <v>0</v>
      </c>
      <c r="U142" s="138">
        <f>+R142*D142</f>
        <v>-3446.3999999999996</v>
      </c>
      <c r="V142" s="136">
        <f>IF(P142&gt;30,200+S142,100+S142)</f>
        <v>129</v>
      </c>
    </row>
    <row r="143" spans="1:22" ht="15">
      <c r="A143" s="147" t="s">
        <v>206</v>
      </c>
      <c r="B143" s="148">
        <v>43087</v>
      </c>
      <c r="C143" s="149" t="s">
        <v>469</v>
      </c>
      <c r="D143" s="150">
        <v>155.71</v>
      </c>
      <c r="K143" s="151">
        <v>43096</v>
      </c>
      <c r="M143" s="155">
        <v>43096</v>
      </c>
      <c r="N143" s="156">
        <f>+M143</f>
        <v>43096</v>
      </c>
      <c r="O143" s="137">
        <f>+M143-K143</f>
        <v>0</v>
      </c>
      <c r="P143" s="137">
        <f>+N143-M143</f>
        <v>0</v>
      </c>
      <c r="Q143" s="137">
        <f>+N143-K143</f>
        <v>0</v>
      </c>
      <c r="R143" s="137">
        <f>+Q143-30</f>
        <v>-30</v>
      </c>
      <c r="S143" s="2">
        <v>22</v>
      </c>
      <c r="T143" s="138">
        <f>+P143*D143</f>
        <v>0</v>
      </c>
      <c r="U143" s="138">
        <f>+R143*D143</f>
        <v>-4671.3</v>
      </c>
      <c r="V143" s="136">
        <f>IF(P143&gt;30,200+S143,100+S143)</f>
        <v>122</v>
      </c>
    </row>
    <row r="144" spans="1:22" ht="15">
      <c r="A144" s="147" t="s">
        <v>202</v>
      </c>
      <c r="B144" s="148">
        <v>43070</v>
      </c>
      <c r="C144" s="149" t="s">
        <v>465</v>
      </c>
      <c r="D144" s="150">
        <v>61.41</v>
      </c>
      <c r="K144" s="151">
        <v>43074</v>
      </c>
      <c r="M144" s="155">
        <v>43074</v>
      </c>
      <c r="N144" s="156">
        <f>+M144</f>
        <v>43074</v>
      </c>
      <c r="O144" s="137">
        <f>+M144-K144</f>
        <v>0</v>
      </c>
      <c r="P144" s="137">
        <f>+N144-M144</f>
        <v>0</v>
      </c>
      <c r="Q144" s="137">
        <f>+N144-K144</f>
        <v>0</v>
      </c>
      <c r="R144" s="137">
        <f>+Q144-30</f>
        <v>-30</v>
      </c>
      <c r="S144" s="2">
        <v>20</v>
      </c>
      <c r="T144" s="138">
        <f>+P144*D144</f>
        <v>0</v>
      </c>
      <c r="U144" s="138">
        <f>+R144*D144</f>
        <v>-1842.3</v>
      </c>
      <c r="V144" s="136">
        <f>IF(P144&gt;30,200+S144,100+S144)</f>
        <v>120</v>
      </c>
    </row>
    <row r="145" spans="1:22" ht="15">
      <c r="A145" s="147" t="s">
        <v>201</v>
      </c>
      <c r="B145" s="148">
        <v>43070</v>
      </c>
      <c r="C145" s="149" t="s">
        <v>464</v>
      </c>
      <c r="D145" s="150">
        <v>28.6</v>
      </c>
      <c r="K145" s="151">
        <v>43074</v>
      </c>
      <c r="M145" s="155">
        <v>43074</v>
      </c>
      <c r="N145" s="156">
        <f>+M145</f>
        <v>43074</v>
      </c>
      <c r="O145" s="137">
        <f>+M145-K145</f>
        <v>0</v>
      </c>
      <c r="P145" s="137">
        <f>+N145-M145</f>
        <v>0</v>
      </c>
      <c r="Q145" s="137">
        <f>+N145-K145</f>
        <v>0</v>
      </c>
      <c r="R145" s="137">
        <f>+Q145-30</f>
        <v>-30</v>
      </c>
      <c r="S145" s="2">
        <v>20</v>
      </c>
      <c r="T145" s="138">
        <f>+P145*D145</f>
        <v>0</v>
      </c>
      <c r="U145" s="138">
        <f>+R145*D145</f>
        <v>-858</v>
      </c>
      <c r="V145" s="136">
        <f>IF(P145&gt;30,200+S145,100+S145)</f>
        <v>120</v>
      </c>
    </row>
    <row r="146" spans="1:22" ht="15">
      <c r="A146" s="147" t="s">
        <v>200</v>
      </c>
      <c r="B146" s="148">
        <v>43070</v>
      </c>
      <c r="C146" s="149" t="s">
        <v>463</v>
      </c>
      <c r="D146" s="150">
        <v>217.81</v>
      </c>
      <c r="K146" s="151">
        <v>43074</v>
      </c>
      <c r="M146" s="155">
        <v>43074</v>
      </c>
      <c r="N146" s="156">
        <f>+M146</f>
        <v>43074</v>
      </c>
      <c r="O146" s="137">
        <f>+M146-K146</f>
        <v>0</v>
      </c>
      <c r="P146" s="137">
        <f>+N146-M146</f>
        <v>0</v>
      </c>
      <c r="Q146" s="137">
        <f>+N146-K146</f>
        <v>0</v>
      </c>
      <c r="R146" s="137">
        <f>+Q146-30</f>
        <v>-30</v>
      </c>
      <c r="S146" s="2">
        <v>20</v>
      </c>
      <c r="T146" s="138">
        <f>+P146*D146</f>
        <v>0</v>
      </c>
      <c r="U146" s="138">
        <f>+R146*D146</f>
        <v>-6534.3</v>
      </c>
      <c r="V146" s="136">
        <f>IF(P146&gt;30,200+S146,100+S146)</f>
        <v>120</v>
      </c>
    </row>
    <row r="147" spans="1:22" ht="15">
      <c r="A147" s="147" t="s">
        <v>198</v>
      </c>
      <c r="B147" s="148">
        <v>43053</v>
      </c>
      <c r="C147" s="149" t="s">
        <v>461</v>
      </c>
      <c r="D147" s="150">
        <v>71.26</v>
      </c>
      <c r="K147" s="151">
        <v>43070</v>
      </c>
      <c r="M147" s="155">
        <v>43070</v>
      </c>
      <c r="N147" s="156">
        <f>+M147</f>
        <v>43070</v>
      </c>
      <c r="O147" s="137">
        <f>+M147-K147</f>
        <v>0</v>
      </c>
      <c r="P147" s="137">
        <f>+N147-M147</f>
        <v>0</v>
      </c>
      <c r="Q147" s="137">
        <f>+N147-K147</f>
        <v>0</v>
      </c>
      <c r="R147" s="137">
        <f>+Q147-30</f>
        <v>-30</v>
      </c>
      <c r="S147" s="2">
        <v>29</v>
      </c>
      <c r="T147" s="138">
        <f>+P147*D147</f>
        <v>0</v>
      </c>
      <c r="U147" s="138">
        <f>+R147*D147</f>
        <v>-2137.8</v>
      </c>
      <c r="V147" s="136">
        <f>IF(P147&gt;30,200+S147,100+S147)</f>
        <v>129</v>
      </c>
    </row>
    <row r="148" spans="1:22" ht="15">
      <c r="A148" s="147" t="s">
        <v>192</v>
      </c>
      <c r="B148" s="148">
        <v>43070</v>
      </c>
      <c r="C148" s="149" t="s">
        <v>455</v>
      </c>
      <c r="D148" s="150">
        <v>149.68</v>
      </c>
      <c r="K148" s="151">
        <v>43084</v>
      </c>
      <c r="M148" s="155">
        <v>43084</v>
      </c>
      <c r="N148" s="156">
        <f>+M148</f>
        <v>43084</v>
      </c>
      <c r="O148" s="137">
        <f>+M148-K148</f>
        <v>0</v>
      </c>
      <c r="P148" s="137">
        <f>+N148-M148</f>
        <v>0</v>
      </c>
      <c r="Q148" s="137">
        <f>+N148-K148</f>
        <v>0</v>
      </c>
      <c r="R148" s="137">
        <f>+Q148-30</f>
        <v>-30</v>
      </c>
      <c r="S148" s="2">
        <v>29</v>
      </c>
      <c r="T148" s="138">
        <f>+P148*D148</f>
        <v>0</v>
      </c>
      <c r="U148" s="138">
        <f>+R148*D148</f>
        <v>-4490.400000000001</v>
      </c>
      <c r="V148" s="136">
        <f>IF(P148&gt;30,200+S148,100+S148)</f>
        <v>129</v>
      </c>
    </row>
    <row r="149" spans="1:22" ht="15">
      <c r="A149" s="147" t="s">
        <v>187</v>
      </c>
      <c r="B149" s="148">
        <v>43009</v>
      </c>
      <c r="C149" s="149" t="s">
        <v>450</v>
      </c>
      <c r="D149" s="150">
        <v>1121.08</v>
      </c>
      <c r="K149" s="151">
        <v>43038</v>
      </c>
      <c r="M149" s="155">
        <v>43038</v>
      </c>
      <c r="N149" s="155">
        <f>+M149</f>
        <v>43038</v>
      </c>
      <c r="O149" s="137">
        <f>+M149-K149</f>
        <v>0</v>
      </c>
      <c r="P149" s="137">
        <f>+N149-M149</f>
        <v>0</v>
      </c>
      <c r="Q149" s="137">
        <f>+N149-K149</f>
        <v>0</v>
      </c>
      <c r="R149" s="137">
        <f>+Q149-30</f>
        <v>-30</v>
      </c>
      <c r="S149" s="2">
        <v>21</v>
      </c>
      <c r="T149" s="138">
        <f>+P149*D149</f>
        <v>0</v>
      </c>
      <c r="U149" s="138">
        <f>+R149*D149</f>
        <v>-33632.399999999994</v>
      </c>
      <c r="V149" s="136">
        <f>IF(P149&gt;30,200+S149,100+S149)</f>
        <v>121</v>
      </c>
    </row>
    <row r="150" spans="1:22" ht="15">
      <c r="A150" s="147" t="s">
        <v>181</v>
      </c>
      <c r="B150" s="148">
        <v>43028</v>
      </c>
      <c r="C150" s="149" t="s">
        <v>443</v>
      </c>
      <c r="D150" s="150">
        <v>1942.74</v>
      </c>
      <c r="K150" s="151">
        <v>43059</v>
      </c>
      <c r="M150" s="155">
        <v>43059</v>
      </c>
      <c r="N150" s="155">
        <f>+M150</f>
        <v>43059</v>
      </c>
      <c r="O150" s="137">
        <f>+M150-K150</f>
        <v>0</v>
      </c>
      <c r="P150" s="137">
        <f>+N150-M150</f>
        <v>0</v>
      </c>
      <c r="Q150" s="137">
        <f>+N150-K150</f>
        <v>0</v>
      </c>
      <c r="R150" s="137">
        <f>+Q150-30</f>
        <v>-30</v>
      </c>
      <c r="S150" s="2">
        <v>29</v>
      </c>
      <c r="T150" s="138">
        <f>+P150*D150</f>
        <v>0</v>
      </c>
      <c r="U150" s="138">
        <f>+R150*D150</f>
        <v>-58282.2</v>
      </c>
      <c r="V150" s="136">
        <f>IF(P150&gt;30,200+S150,100+S150)</f>
        <v>129</v>
      </c>
    </row>
    <row r="151" spans="1:22" ht="15">
      <c r="A151" s="147" t="s">
        <v>178</v>
      </c>
      <c r="B151" s="148">
        <v>43063</v>
      </c>
      <c r="C151" s="149" t="s">
        <v>441</v>
      </c>
      <c r="D151" s="150">
        <v>126.69</v>
      </c>
      <c r="K151" s="151">
        <v>43096</v>
      </c>
      <c r="M151" s="155">
        <v>43096</v>
      </c>
      <c r="N151" s="155">
        <f>+M151</f>
        <v>43096</v>
      </c>
      <c r="O151" s="137">
        <f>+M151-K151</f>
        <v>0</v>
      </c>
      <c r="P151" s="137">
        <f>+N151-M151</f>
        <v>0</v>
      </c>
      <c r="Q151" s="137">
        <f>+N151-K151</f>
        <v>0</v>
      </c>
      <c r="R151" s="137">
        <f>+Q151-30</f>
        <v>-30</v>
      </c>
      <c r="S151" s="2">
        <v>21</v>
      </c>
      <c r="T151" s="138">
        <f>+P151*D151</f>
        <v>0</v>
      </c>
      <c r="U151" s="138">
        <f>+R151*D151</f>
        <v>-3800.7</v>
      </c>
      <c r="V151" s="136">
        <f>IF(P151&gt;30,200+S151,100+S151)</f>
        <v>121</v>
      </c>
    </row>
    <row r="152" spans="1:22" ht="15">
      <c r="A152" s="147" t="s">
        <v>177</v>
      </c>
      <c r="B152" s="148">
        <v>43039</v>
      </c>
      <c r="C152" s="149" t="s">
        <v>440</v>
      </c>
      <c r="D152" s="150">
        <v>151.99</v>
      </c>
      <c r="K152" s="151">
        <v>43066</v>
      </c>
      <c r="M152" s="155">
        <v>43034</v>
      </c>
      <c r="N152" s="155">
        <f>+M152</f>
        <v>43034</v>
      </c>
      <c r="O152" s="137">
        <f>+M152-K152</f>
        <v>-32</v>
      </c>
      <c r="P152" s="137">
        <f>+N152-M152</f>
        <v>0</v>
      </c>
      <c r="Q152" s="137">
        <f>+N152-K152</f>
        <v>-32</v>
      </c>
      <c r="R152" s="137">
        <f>+Q152-30</f>
        <v>-62</v>
      </c>
      <c r="S152" s="2">
        <v>29</v>
      </c>
      <c r="T152" s="138">
        <f>+P152*D152</f>
        <v>0</v>
      </c>
      <c r="U152" s="138">
        <f>+R152*D152</f>
        <v>-9423.380000000001</v>
      </c>
      <c r="V152" s="136">
        <f>IF(P152&gt;30,200+S152,100+S152)</f>
        <v>129</v>
      </c>
    </row>
    <row r="153" spans="1:22" ht="15">
      <c r="A153" s="147" t="s">
        <v>175</v>
      </c>
      <c r="B153" s="148">
        <v>43062</v>
      </c>
      <c r="C153" s="149" t="s">
        <v>438</v>
      </c>
      <c r="D153" s="150">
        <v>75.07</v>
      </c>
      <c r="K153" s="151">
        <v>43068</v>
      </c>
      <c r="M153" s="155">
        <v>43068</v>
      </c>
      <c r="N153" s="155">
        <f>+M153</f>
        <v>43068</v>
      </c>
      <c r="O153" s="137">
        <f>+M153-K153</f>
        <v>0</v>
      </c>
      <c r="P153" s="137">
        <f>+N153-M153</f>
        <v>0</v>
      </c>
      <c r="Q153" s="137">
        <f>+N153-K153</f>
        <v>0</v>
      </c>
      <c r="R153" s="137">
        <f>+Q153-30</f>
        <v>-30</v>
      </c>
      <c r="S153" s="2">
        <v>29</v>
      </c>
      <c r="T153" s="138">
        <f>+P153*D153</f>
        <v>0</v>
      </c>
      <c r="U153" s="138">
        <f>+R153*D153</f>
        <v>-2252.1</v>
      </c>
      <c r="V153" s="136">
        <f>IF(P153&gt;30,200+S153,100+S153)</f>
        <v>129</v>
      </c>
    </row>
    <row r="154" spans="1:22" ht="15">
      <c r="A154" s="147" t="s">
        <v>174</v>
      </c>
      <c r="B154" s="148">
        <v>43062</v>
      </c>
      <c r="C154" s="149" t="s">
        <v>437</v>
      </c>
      <c r="D154" s="150">
        <v>72.65</v>
      </c>
      <c r="K154" s="151">
        <v>43068</v>
      </c>
      <c r="M154" s="155">
        <v>43068</v>
      </c>
      <c r="N154" s="155">
        <f>+M154</f>
        <v>43068</v>
      </c>
      <c r="O154" s="137">
        <f>+M154-K154</f>
        <v>0</v>
      </c>
      <c r="P154" s="137">
        <f>+N154-M154</f>
        <v>0</v>
      </c>
      <c r="Q154" s="137">
        <f>+N154-K154</f>
        <v>0</v>
      </c>
      <c r="R154" s="137">
        <f>+Q154-30</f>
        <v>-30</v>
      </c>
      <c r="S154" s="2">
        <v>29</v>
      </c>
      <c r="T154" s="138">
        <f>+P154*D154</f>
        <v>0</v>
      </c>
      <c r="U154" s="138">
        <f>+R154*D154</f>
        <v>-2179.5</v>
      </c>
      <c r="V154" s="136">
        <f>IF(P154&gt;30,200+S154,100+S154)</f>
        <v>129</v>
      </c>
    </row>
    <row r="155" spans="1:22" ht="15">
      <c r="A155" s="147" t="s">
        <v>173</v>
      </c>
      <c r="B155" s="148">
        <v>43062</v>
      </c>
      <c r="C155" s="149" t="s">
        <v>436</v>
      </c>
      <c r="D155" s="150">
        <v>1075.56</v>
      </c>
      <c r="K155" s="151">
        <v>43068</v>
      </c>
      <c r="M155" s="155">
        <v>43068</v>
      </c>
      <c r="N155" s="155">
        <f>+M155</f>
        <v>43068</v>
      </c>
      <c r="O155" s="137">
        <f>+M155-K155</f>
        <v>0</v>
      </c>
      <c r="P155" s="137">
        <f>+N155-M155</f>
        <v>0</v>
      </c>
      <c r="Q155" s="137">
        <f>+N155-K155</f>
        <v>0</v>
      </c>
      <c r="R155" s="137">
        <f>+Q155-30</f>
        <v>-30</v>
      </c>
      <c r="S155" s="2">
        <v>29</v>
      </c>
      <c r="T155" s="138">
        <f>+P155*D155</f>
        <v>0</v>
      </c>
      <c r="U155" s="138">
        <f>+R155*D155</f>
        <v>-32266.8</v>
      </c>
      <c r="V155" s="136">
        <f>IF(P155&gt;30,200+S155,100+S155)</f>
        <v>129</v>
      </c>
    </row>
    <row r="156" spans="1:22" ht="15">
      <c r="A156" s="147" t="s">
        <v>172</v>
      </c>
      <c r="B156" s="148">
        <v>43062</v>
      </c>
      <c r="C156" s="149" t="s">
        <v>435</v>
      </c>
      <c r="D156" s="150">
        <v>545.31</v>
      </c>
      <c r="K156" s="151">
        <v>43068</v>
      </c>
      <c r="M156" s="155">
        <v>43068</v>
      </c>
      <c r="N156" s="155">
        <f>+M156</f>
        <v>43068</v>
      </c>
      <c r="O156" s="137">
        <f>+M156-K156</f>
        <v>0</v>
      </c>
      <c r="P156" s="137">
        <f>+N156-M156</f>
        <v>0</v>
      </c>
      <c r="Q156" s="137">
        <f>+N156-K156</f>
        <v>0</v>
      </c>
      <c r="R156" s="137">
        <f>+Q156-30</f>
        <v>-30</v>
      </c>
      <c r="S156" s="2">
        <v>29</v>
      </c>
      <c r="T156" s="138">
        <f>+P156*D156</f>
        <v>0</v>
      </c>
      <c r="U156" s="138">
        <f>+R156*D156</f>
        <v>-16359.3</v>
      </c>
      <c r="V156" s="136">
        <f>IF(P156&gt;30,200+S156,100+S156)</f>
        <v>129</v>
      </c>
    </row>
    <row r="157" spans="1:22" ht="15">
      <c r="A157" s="147" t="s">
        <v>171</v>
      </c>
      <c r="B157" s="148">
        <v>43031</v>
      </c>
      <c r="C157" s="149" t="s">
        <v>434</v>
      </c>
      <c r="D157" s="150">
        <v>649.86</v>
      </c>
      <c r="K157" s="151">
        <v>43038</v>
      </c>
      <c r="M157" s="155">
        <v>43038</v>
      </c>
      <c r="N157" s="155">
        <f>+M157</f>
        <v>43038</v>
      </c>
      <c r="O157" s="137">
        <f>+M157-K157</f>
        <v>0</v>
      </c>
      <c r="P157" s="137">
        <f>+N157-M157</f>
        <v>0</v>
      </c>
      <c r="Q157" s="137">
        <f>+N157-K157</f>
        <v>0</v>
      </c>
      <c r="R157" s="137">
        <f>+Q157-30</f>
        <v>-30</v>
      </c>
      <c r="S157" s="2">
        <v>29</v>
      </c>
      <c r="T157" s="138">
        <f>+P157*D157</f>
        <v>0</v>
      </c>
      <c r="U157" s="138">
        <f>+R157*D157</f>
        <v>-19495.8</v>
      </c>
      <c r="V157" s="136">
        <f>IF(P157&gt;30,200+S157,100+S157)</f>
        <v>129</v>
      </c>
    </row>
    <row r="158" spans="1:22" ht="15">
      <c r="A158" s="147" t="s">
        <v>170</v>
      </c>
      <c r="B158" s="148">
        <v>43031</v>
      </c>
      <c r="C158" s="149" t="s">
        <v>433</v>
      </c>
      <c r="D158" s="150">
        <v>1097.76</v>
      </c>
      <c r="K158" s="151">
        <v>43038</v>
      </c>
      <c r="M158" s="155">
        <v>43038</v>
      </c>
      <c r="N158" s="155">
        <f>+M158</f>
        <v>43038</v>
      </c>
      <c r="O158" s="137">
        <f>+M158-K158</f>
        <v>0</v>
      </c>
      <c r="P158" s="137">
        <f>+N158-M158</f>
        <v>0</v>
      </c>
      <c r="Q158" s="137">
        <f>+N158-K158</f>
        <v>0</v>
      </c>
      <c r="R158" s="137">
        <f>+Q158-30</f>
        <v>-30</v>
      </c>
      <c r="S158" s="2">
        <v>29</v>
      </c>
      <c r="T158" s="138">
        <f>+P158*D158</f>
        <v>0</v>
      </c>
      <c r="U158" s="138">
        <f>+R158*D158</f>
        <v>-32932.8</v>
      </c>
      <c r="V158" s="136">
        <f>IF(P158&gt;30,200+S158,100+S158)</f>
        <v>129</v>
      </c>
    </row>
    <row r="159" spans="1:22" ht="15">
      <c r="A159" s="147" t="s">
        <v>169</v>
      </c>
      <c r="B159" s="148">
        <v>43031</v>
      </c>
      <c r="C159" s="149" t="s">
        <v>432</v>
      </c>
      <c r="D159" s="150">
        <v>72.65</v>
      </c>
      <c r="K159" s="151">
        <v>43038</v>
      </c>
      <c r="M159" s="155">
        <v>43038</v>
      </c>
      <c r="N159" s="155">
        <f>+M159</f>
        <v>43038</v>
      </c>
      <c r="O159" s="137">
        <f>+M159-K159</f>
        <v>0</v>
      </c>
      <c r="P159" s="137">
        <f>+N159-M159</f>
        <v>0</v>
      </c>
      <c r="Q159" s="137">
        <f>+N159-K159</f>
        <v>0</v>
      </c>
      <c r="R159" s="137">
        <f>+Q159-30</f>
        <v>-30</v>
      </c>
      <c r="S159" s="2">
        <v>29</v>
      </c>
      <c r="T159" s="138">
        <f>+P159*D159</f>
        <v>0</v>
      </c>
      <c r="U159" s="138">
        <f>+R159*D159</f>
        <v>-2179.5</v>
      </c>
      <c r="V159" s="136">
        <f>IF(P159&gt;30,200+S159,100+S159)</f>
        <v>129</v>
      </c>
    </row>
    <row r="160" spans="1:22" ht="15">
      <c r="A160" s="147" t="s">
        <v>168</v>
      </c>
      <c r="B160" s="148">
        <v>43059</v>
      </c>
      <c r="C160" s="149" t="s">
        <v>431</v>
      </c>
      <c r="D160" s="150">
        <v>-108.91</v>
      </c>
      <c r="K160" s="151">
        <v>43066</v>
      </c>
      <c r="M160" s="155">
        <v>43066</v>
      </c>
      <c r="N160" s="155">
        <f>+M160</f>
        <v>43066</v>
      </c>
      <c r="O160" s="137">
        <f>+M160-K160</f>
        <v>0</v>
      </c>
      <c r="P160" s="137">
        <f>+N160-M160</f>
        <v>0</v>
      </c>
      <c r="Q160" s="137">
        <f>+N160-K160</f>
        <v>0</v>
      </c>
      <c r="R160" s="137">
        <f>+Q160-30</f>
        <v>-30</v>
      </c>
      <c r="S160" s="2">
        <v>29</v>
      </c>
      <c r="T160" s="138">
        <f>+P160*D160</f>
        <v>0</v>
      </c>
      <c r="U160" s="138">
        <f>+R160*D160</f>
        <v>3267.2999999999997</v>
      </c>
      <c r="V160" s="136">
        <f>IF(P160&gt;30,200+S160,100+S160)</f>
        <v>129</v>
      </c>
    </row>
    <row r="161" spans="1:22" ht="15">
      <c r="A161" s="147" t="s">
        <v>167</v>
      </c>
      <c r="B161" s="148">
        <v>43059</v>
      </c>
      <c r="C161" s="149" t="s">
        <v>430</v>
      </c>
      <c r="D161" s="150">
        <v>-178.69</v>
      </c>
      <c r="K161" s="151">
        <v>43066</v>
      </c>
      <c r="M161" s="155">
        <v>43066</v>
      </c>
      <c r="N161" s="155">
        <f>+M161</f>
        <v>43066</v>
      </c>
      <c r="O161" s="137">
        <f>+M161-K161</f>
        <v>0</v>
      </c>
      <c r="P161" s="137">
        <f>+N161-M161</f>
        <v>0</v>
      </c>
      <c r="Q161" s="137">
        <f>+N161-K161</f>
        <v>0</v>
      </c>
      <c r="R161" s="137">
        <f>+Q161-30</f>
        <v>-30</v>
      </c>
      <c r="S161" s="2">
        <v>29</v>
      </c>
      <c r="T161" s="138">
        <f>+P161*D161</f>
        <v>0</v>
      </c>
      <c r="U161" s="138">
        <f>+R161*D161</f>
        <v>5360.7</v>
      </c>
      <c r="V161" s="136">
        <f>IF(P161&gt;30,200+S161,100+S161)</f>
        <v>129</v>
      </c>
    </row>
    <row r="162" spans="1:22" ht="15">
      <c r="A162" s="147" t="s">
        <v>162</v>
      </c>
      <c r="B162" s="148">
        <v>43031</v>
      </c>
      <c r="C162" s="149" t="s">
        <v>425</v>
      </c>
      <c r="D162" s="150">
        <v>75.07</v>
      </c>
      <c r="K162" s="151">
        <v>43038</v>
      </c>
      <c r="M162" s="155">
        <v>43038</v>
      </c>
      <c r="N162" s="155">
        <f>+M162</f>
        <v>43038</v>
      </c>
      <c r="O162" s="137">
        <f>+M162-K162</f>
        <v>0</v>
      </c>
      <c r="P162" s="137">
        <f>+N162-M162</f>
        <v>0</v>
      </c>
      <c r="Q162" s="137">
        <f>+N162-K162</f>
        <v>0</v>
      </c>
      <c r="R162" s="137">
        <f>+Q162-30</f>
        <v>-30</v>
      </c>
      <c r="S162" s="2">
        <v>29</v>
      </c>
      <c r="T162" s="138">
        <f>+P162*D162</f>
        <v>0</v>
      </c>
      <c r="U162" s="138">
        <f>+R162*D162</f>
        <v>-2252.1</v>
      </c>
      <c r="V162" s="136">
        <f>IF(P162&gt;30,200+S162,100+S162)</f>
        <v>129</v>
      </c>
    </row>
    <row r="163" spans="1:22" ht="15">
      <c r="A163" s="147" t="s">
        <v>153</v>
      </c>
      <c r="B163" s="148">
        <v>43068</v>
      </c>
      <c r="C163" s="149" t="s">
        <v>416</v>
      </c>
      <c r="D163" s="150">
        <v>632.04</v>
      </c>
      <c r="K163" s="151">
        <v>43083</v>
      </c>
      <c r="M163" s="155">
        <v>43087</v>
      </c>
      <c r="N163" s="155">
        <f>+M163</f>
        <v>43087</v>
      </c>
      <c r="O163" s="137">
        <f>+M163-K163</f>
        <v>4</v>
      </c>
      <c r="P163" s="137">
        <f>+N163-M163</f>
        <v>0</v>
      </c>
      <c r="Q163" s="137">
        <f>+N163-K163</f>
        <v>4</v>
      </c>
      <c r="R163" s="137">
        <f>+Q163-30</f>
        <v>-26</v>
      </c>
      <c r="S163" s="2">
        <v>29</v>
      </c>
      <c r="T163" s="138">
        <f>+P163*D163</f>
        <v>0</v>
      </c>
      <c r="U163" s="138">
        <f>+R163*D163</f>
        <v>-16433.04</v>
      </c>
      <c r="V163" s="136">
        <f>IF(P163&gt;30,200+S163,100+S163)</f>
        <v>129</v>
      </c>
    </row>
    <row r="164" spans="1:22" ht="15">
      <c r="A164" s="147" t="s">
        <v>152</v>
      </c>
      <c r="B164" s="148">
        <v>43068</v>
      </c>
      <c r="C164" s="149" t="s">
        <v>415</v>
      </c>
      <c r="D164" s="150">
        <v>523.2</v>
      </c>
      <c r="K164" s="151">
        <v>43083</v>
      </c>
      <c r="M164" s="155">
        <v>43087</v>
      </c>
      <c r="N164" s="155">
        <f>+M164</f>
        <v>43087</v>
      </c>
      <c r="O164" s="137">
        <f>+M164-K164</f>
        <v>4</v>
      </c>
      <c r="P164" s="137">
        <f>+N164-M164</f>
        <v>0</v>
      </c>
      <c r="Q164" s="137">
        <f>+N164-K164</f>
        <v>4</v>
      </c>
      <c r="R164" s="137">
        <f>+Q164-30</f>
        <v>-26</v>
      </c>
      <c r="S164" s="2">
        <v>29</v>
      </c>
      <c r="T164" s="138">
        <f>+P164*D164</f>
        <v>0</v>
      </c>
      <c r="U164" s="138">
        <f>+R164*D164</f>
        <v>-13603.2</v>
      </c>
      <c r="V164" s="136">
        <f>IF(P164&gt;30,200+S164,100+S164)</f>
        <v>129</v>
      </c>
    </row>
    <row r="165" spans="1:22" ht="15">
      <c r="A165" s="147" t="s">
        <v>151</v>
      </c>
      <c r="B165" s="148">
        <v>43068</v>
      </c>
      <c r="C165" s="149" t="s">
        <v>414</v>
      </c>
      <c r="D165" s="150">
        <v>354.22</v>
      </c>
      <c r="K165" s="151">
        <v>43083</v>
      </c>
      <c r="M165" s="155">
        <v>43087</v>
      </c>
      <c r="N165" s="155">
        <f>+M165</f>
        <v>43087</v>
      </c>
      <c r="O165" s="137">
        <f>+M165-K165</f>
        <v>4</v>
      </c>
      <c r="P165" s="137">
        <f>+N165-M165</f>
        <v>0</v>
      </c>
      <c r="Q165" s="137">
        <f>+N165-K165</f>
        <v>4</v>
      </c>
      <c r="R165" s="137">
        <f>+Q165-30</f>
        <v>-26</v>
      </c>
      <c r="S165" s="2">
        <v>29</v>
      </c>
      <c r="T165" s="138">
        <f>+P165*D165</f>
        <v>0</v>
      </c>
      <c r="U165" s="138">
        <f>+R165*D165</f>
        <v>-9209.720000000001</v>
      </c>
      <c r="V165" s="136">
        <f>IF(P165&gt;30,200+S165,100+S165)</f>
        <v>129</v>
      </c>
    </row>
    <row r="166" spans="1:22" ht="15">
      <c r="A166" s="147" t="s">
        <v>150</v>
      </c>
      <c r="B166" s="148">
        <v>43038</v>
      </c>
      <c r="C166" s="149" t="s">
        <v>413</v>
      </c>
      <c r="D166" s="150">
        <v>980.73</v>
      </c>
      <c r="K166" s="151">
        <v>43053</v>
      </c>
      <c r="M166" s="155">
        <v>43055</v>
      </c>
      <c r="N166" s="155">
        <f>+M166</f>
        <v>43055</v>
      </c>
      <c r="O166" s="137">
        <f>+M166-K166</f>
        <v>2</v>
      </c>
      <c r="P166" s="137">
        <f>+N166-M166</f>
        <v>0</v>
      </c>
      <c r="Q166" s="137">
        <f>+N166-K166</f>
        <v>2</v>
      </c>
      <c r="R166" s="137">
        <f>+Q166-30</f>
        <v>-28</v>
      </c>
      <c r="S166" s="2">
        <v>29</v>
      </c>
      <c r="T166" s="138">
        <f>+P166*D166</f>
        <v>0</v>
      </c>
      <c r="U166" s="138">
        <f>+R166*D166</f>
        <v>-27460.440000000002</v>
      </c>
      <c r="V166" s="136">
        <f>IF(P166&gt;30,200+S166,100+S166)</f>
        <v>129</v>
      </c>
    </row>
    <row r="167" spans="1:22" ht="15">
      <c r="A167" s="147" t="s">
        <v>149</v>
      </c>
      <c r="B167" s="148">
        <v>43038</v>
      </c>
      <c r="C167" s="149" t="s">
        <v>412</v>
      </c>
      <c r="D167" s="150">
        <v>475.76</v>
      </c>
      <c r="K167" s="151">
        <v>43053</v>
      </c>
      <c r="M167" s="155">
        <v>43055</v>
      </c>
      <c r="N167" s="155">
        <f>+M167</f>
        <v>43055</v>
      </c>
      <c r="O167" s="137">
        <f>+M167-K167</f>
        <v>2</v>
      </c>
      <c r="P167" s="137">
        <f>+N167-M167</f>
        <v>0</v>
      </c>
      <c r="Q167" s="137">
        <f>+N167-K167</f>
        <v>2</v>
      </c>
      <c r="R167" s="137">
        <f>+Q167-30</f>
        <v>-28</v>
      </c>
      <c r="S167" s="2">
        <v>29</v>
      </c>
      <c r="T167" s="138">
        <f>+P167*D167</f>
        <v>0</v>
      </c>
      <c r="U167" s="138">
        <f>+R167*D167</f>
        <v>-13321.279999999999</v>
      </c>
      <c r="V167" s="136">
        <f>IF(P167&gt;30,200+S167,100+S167)</f>
        <v>129</v>
      </c>
    </row>
    <row r="168" spans="1:22" ht="15">
      <c r="A168" s="147" t="s">
        <v>148</v>
      </c>
      <c r="B168" s="148">
        <v>43038</v>
      </c>
      <c r="C168" s="149" t="s">
        <v>411</v>
      </c>
      <c r="D168" s="150">
        <v>333</v>
      </c>
      <c r="K168" s="151">
        <v>43053</v>
      </c>
      <c r="M168" s="155">
        <v>43055</v>
      </c>
      <c r="N168" s="155">
        <f>+M168</f>
        <v>43055</v>
      </c>
      <c r="O168" s="137">
        <f>+M168-K168</f>
        <v>2</v>
      </c>
      <c r="P168" s="137">
        <f>+N168-M168</f>
        <v>0</v>
      </c>
      <c r="Q168" s="137">
        <f>+N168-K168</f>
        <v>2</v>
      </c>
      <c r="R168" s="137">
        <f>+Q168-30</f>
        <v>-28</v>
      </c>
      <c r="S168" s="2">
        <v>29</v>
      </c>
      <c r="T168" s="138">
        <f>+P168*D168</f>
        <v>0</v>
      </c>
      <c r="U168" s="138">
        <f>+R168*D168</f>
        <v>-9324</v>
      </c>
      <c r="V168" s="136">
        <f>IF(P168&gt;30,200+S168,100+S168)</f>
        <v>129</v>
      </c>
    </row>
    <row r="169" spans="1:22" ht="15">
      <c r="A169" s="147" t="s">
        <v>142</v>
      </c>
      <c r="B169" s="148">
        <v>43068</v>
      </c>
      <c r="C169" s="149" t="s">
        <v>405</v>
      </c>
      <c r="D169" s="150">
        <v>225.79</v>
      </c>
      <c r="K169" s="151">
        <v>43083</v>
      </c>
      <c r="M169" s="155">
        <v>43087</v>
      </c>
      <c r="N169" s="155">
        <f>+M169</f>
        <v>43087</v>
      </c>
      <c r="O169" s="137">
        <f>+M169-K169</f>
        <v>4</v>
      </c>
      <c r="P169" s="137">
        <f>+N169-M169</f>
        <v>0</v>
      </c>
      <c r="Q169" s="137">
        <f>+N169-K169</f>
        <v>4</v>
      </c>
      <c r="R169" s="137">
        <f>+Q169-30</f>
        <v>-26</v>
      </c>
      <c r="S169" s="2">
        <v>29</v>
      </c>
      <c r="T169" s="138">
        <f>+P169*D169</f>
        <v>0</v>
      </c>
      <c r="U169" s="138">
        <f>+R169*D169</f>
        <v>-5870.54</v>
      </c>
      <c r="V169" s="136">
        <f>IF(P169&gt;30,200+S169,100+S169)</f>
        <v>129</v>
      </c>
    </row>
    <row r="170" spans="1:22" ht="15">
      <c r="A170" s="147" t="s">
        <v>141</v>
      </c>
      <c r="B170" s="148">
        <v>43038</v>
      </c>
      <c r="C170" s="149" t="s">
        <v>404</v>
      </c>
      <c r="D170" s="150">
        <v>565.92</v>
      </c>
      <c r="K170" s="151">
        <v>43053</v>
      </c>
      <c r="M170" s="155">
        <v>43055</v>
      </c>
      <c r="N170" s="155">
        <f>+M170</f>
        <v>43055</v>
      </c>
      <c r="O170" s="137">
        <f>+M170-K170</f>
        <v>2</v>
      </c>
      <c r="P170" s="137">
        <f>+N170-M170</f>
        <v>0</v>
      </c>
      <c r="Q170" s="137">
        <f>+N170-K170</f>
        <v>2</v>
      </c>
      <c r="R170" s="137">
        <f>+Q170-30</f>
        <v>-28</v>
      </c>
      <c r="S170" s="2">
        <v>29</v>
      </c>
      <c r="T170" s="138">
        <f>+P170*D170</f>
        <v>0</v>
      </c>
      <c r="U170" s="138">
        <f>+R170*D170</f>
        <v>-15845.759999999998</v>
      </c>
      <c r="V170" s="136">
        <f>IF(P170&gt;30,200+S170,100+S170)</f>
        <v>129</v>
      </c>
    </row>
    <row r="171" spans="1:22" ht="15">
      <c r="A171" s="147" t="s">
        <v>139</v>
      </c>
      <c r="B171" s="148">
        <v>43082</v>
      </c>
      <c r="C171" s="149" t="s">
        <v>402</v>
      </c>
      <c r="D171" s="150">
        <v>3711.93</v>
      </c>
      <c r="K171" s="151">
        <v>43080</v>
      </c>
      <c r="M171" s="155">
        <v>43080</v>
      </c>
      <c r="N171" s="155">
        <f>+M171</f>
        <v>43080</v>
      </c>
      <c r="O171" s="137">
        <f>+M171-K171</f>
        <v>0</v>
      </c>
      <c r="P171" s="137">
        <f>+N171-M171</f>
        <v>0</v>
      </c>
      <c r="Q171" s="137">
        <f>+N171-K171</f>
        <v>0</v>
      </c>
      <c r="R171" s="137">
        <f>+Q171-30</f>
        <v>-30</v>
      </c>
      <c r="S171" s="2">
        <v>69</v>
      </c>
      <c r="T171" s="138">
        <f>+P171*D171</f>
        <v>0</v>
      </c>
      <c r="U171" s="138">
        <f>+R171*D171</f>
        <v>-111357.9</v>
      </c>
      <c r="V171" s="136">
        <f>IF(P171&gt;30,200+S171,100+S171)</f>
        <v>169</v>
      </c>
    </row>
    <row r="172" spans="1:22" ht="15">
      <c r="A172" s="147" t="s">
        <v>135</v>
      </c>
      <c r="B172" s="148">
        <v>43038</v>
      </c>
      <c r="C172" s="149" t="s">
        <v>398</v>
      </c>
      <c r="D172" s="150">
        <v>15.42</v>
      </c>
      <c r="K172" s="151">
        <v>43053</v>
      </c>
      <c r="M172" s="155">
        <v>43055</v>
      </c>
      <c r="N172" s="155">
        <f>+M172</f>
        <v>43055</v>
      </c>
      <c r="O172" s="137">
        <f>+M172-K172</f>
        <v>2</v>
      </c>
      <c r="P172" s="137">
        <f>+N172-M172</f>
        <v>0</v>
      </c>
      <c r="Q172" s="137">
        <f>+N172-K172</f>
        <v>2</v>
      </c>
      <c r="R172" s="137">
        <f>+Q172-30</f>
        <v>-28</v>
      </c>
      <c r="S172" s="2">
        <v>29</v>
      </c>
      <c r="T172" s="138">
        <f>+P172*D172</f>
        <v>0</v>
      </c>
      <c r="U172" s="138">
        <f>+R172*D172</f>
        <v>-431.76</v>
      </c>
      <c r="V172" s="136">
        <f>IF(P172&gt;30,200+S172,100+S172)</f>
        <v>129</v>
      </c>
    </row>
    <row r="173" spans="1:22" ht="15">
      <c r="A173" s="147" t="s">
        <v>128</v>
      </c>
      <c r="B173" s="148">
        <v>43068</v>
      </c>
      <c r="C173" s="149" t="s">
        <v>391</v>
      </c>
      <c r="D173" s="150">
        <v>61.38</v>
      </c>
      <c r="K173" s="151">
        <v>43083</v>
      </c>
      <c r="M173" s="155">
        <v>43087</v>
      </c>
      <c r="N173" s="155">
        <f>+M173</f>
        <v>43087</v>
      </c>
      <c r="O173" s="137">
        <f>+M173-K173</f>
        <v>4</v>
      </c>
      <c r="P173" s="137">
        <f>+N173-M173</f>
        <v>0</v>
      </c>
      <c r="Q173" s="137">
        <f>+N173-K173</f>
        <v>4</v>
      </c>
      <c r="R173" s="137">
        <f>+Q173-30</f>
        <v>-26</v>
      </c>
      <c r="S173" s="2">
        <v>29</v>
      </c>
      <c r="T173" s="138">
        <f>+P173*D173</f>
        <v>0</v>
      </c>
      <c r="U173" s="138">
        <f>+R173*D173</f>
        <v>-1595.88</v>
      </c>
      <c r="V173" s="136">
        <f>IF(P173&gt;30,200+S173,100+S173)</f>
        <v>129</v>
      </c>
    </row>
    <row r="174" spans="1:22" ht="15">
      <c r="A174" s="147" t="s">
        <v>127</v>
      </c>
      <c r="B174" s="148">
        <v>43068</v>
      </c>
      <c r="C174" s="149" t="s">
        <v>390</v>
      </c>
      <c r="D174" s="150">
        <v>39.8</v>
      </c>
      <c r="K174" s="151">
        <v>43083</v>
      </c>
      <c r="M174" s="155">
        <v>43087</v>
      </c>
      <c r="N174" s="155">
        <f>+M174</f>
        <v>43087</v>
      </c>
      <c r="O174" s="137">
        <f>+M174-K174</f>
        <v>4</v>
      </c>
      <c r="P174" s="137">
        <f>+N174-M174</f>
        <v>0</v>
      </c>
      <c r="Q174" s="137">
        <f>+N174-K174</f>
        <v>4</v>
      </c>
      <c r="R174" s="137">
        <f>+Q174-30</f>
        <v>-26</v>
      </c>
      <c r="S174" s="2">
        <v>29</v>
      </c>
      <c r="T174" s="138">
        <f>+P174*D174</f>
        <v>0</v>
      </c>
      <c r="U174" s="138">
        <f>+R174*D174</f>
        <v>-1034.8</v>
      </c>
      <c r="V174" s="136">
        <f>IF(P174&gt;30,200+S174,100+S174)</f>
        <v>129</v>
      </c>
    </row>
    <row r="175" spans="1:22" ht="15">
      <c r="A175" s="147" t="s">
        <v>126</v>
      </c>
      <c r="B175" s="148">
        <v>43068</v>
      </c>
      <c r="C175" s="149" t="s">
        <v>389</v>
      </c>
      <c r="D175" s="150">
        <v>53.23</v>
      </c>
      <c r="K175" s="151">
        <v>43083</v>
      </c>
      <c r="M175" s="155">
        <v>43087</v>
      </c>
      <c r="N175" s="155">
        <f>+M175</f>
        <v>43087</v>
      </c>
      <c r="O175" s="137">
        <f>+M175-K175</f>
        <v>4</v>
      </c>
      <c r="P175" s="137">
        <f>+N175-M175</f>
        <v>0</v>
      </c>
      <c r="Q175" s="137">
        <f>+N175-K175</f>
        <v>4</v>
      </c>
      <c r="R175" s="137">
        <f>+Q175-30</f>
        <v>-26</v>
      </c>
      <c r="S175" s="2">
        <v>29</v>
      </c>
      <c r="T175" s="138">
        <f>+P175*D175</f>
        <v>0</v>
      </c>
      <c r="U175" s="138">
        <f>+R175*D175</f>
        <v>-1383.98</v>
      </c>
      <c r="V175" s="136">
        <f>IF(P175&gt;30,200+S175,100+S175)</f>
        <v>129</v>
      </c>
    </row>
    <row r="176" spans="1:22" ht="15">
      <c r="A176" s="147" t="s">
        <v>125</v>
      </c>
      <c r="B176" s="148">
        <v>43068</v>
      </c>
      <c r="C176" s="149" t="s">
        <v>388</v>
      </c>
      <c r="D176" s="150">
        <v>18.66</v>
      </c>
      <c r="K176" s="151">
        <v>43083</v>
      </c>
      <c r="M176" s="155">
        <v>43087</v>
      </c>
      <c r="N176" s="155">
        <f>+M176</f>
        <v>43087</v>
      </c>
      <c r="O176" s="137">
        <f>+M176-K176</f>
        <v>4</v>
      </c>
      <c r="P176" s="137">
        <f>+N176-M176</f>
        <v>0</v>
      </c>
      <c r="Q176" s="137">
        <f>+N176-K176</f>
        <v>4</v>
      </c>
      <c r="R176" s="137">
        <f>+Q176-30</f>
        <v>-26</v>
      </c>
      <c r="S176" s="2">
        <v>29</v>
      </c>
      <c r="T176" s="138">
        <f>+P176*D176</f>
        <v>0</v>
      </c>
      <c r="U176" s="138">
        <f>+R176*D176</f>
        <v>-485.16</v>
      </c>
      <c r="V176" s="136">
        <f>IF(P176&gt;30,200+S176,100+S176)</f>
        <v>129</v>
      </c>
    </row>
    <row r="177" spans="1:22" ht="15">
      <c r="A177" s="147" t="s">
        <v>124</v>
      </c>
      <c r="B177" s="148">
        <v>43068</v>
      </c>
      <c r="C177" s="149" t="s">
        <v>387</v>
      </c>
      <c r="D177" s="150">
        <v>20.34</v>
      </c>
      <c r="K177" s="151">
        <v>43083</v>
      </c>
      <c r="M177" s="155">
        <v>43087</v>
      </c>
      <c r="N177" s="155">
        <f>+M177</f>
        <v>43087</v>
      </c>
      <c r="O177" s="137">
        <f>+M177-K177</f>
        <v>4</v>
      </c>
      <c r="P177" s="137">
        <f>+N177-M177</f>
        <v>0</v>
      </c>
      <c r="Q177" s="137">
        <f>+N177-K177</f>
        <v>4</v>
      </c>
      <c r="R177" s="137">
        <f>+Q177-30</f>
        <v>-26</v>
      </c>
      <c r="S177" s="2">
        <v>29</v>
      </c>
      <c r="T177" s="138">
        <f>+P177*D177</f>
        <v>0</v>
      </c>
      <c r="U177" s="138">
        <f>+R177*D177</f>
        <v>-528.84</v>
      </c>
      <c r="V177" s="136">
        <f>IF(P177&gt;30,200+S177,100+S177)</f>
        <v>129</v>
      </c>
    </row>
    <row r="178" spans="1:22" ht="15">
      <c r="A178" s="147" t="s">
        <v>123</v>
      </c>
      <c r="B178" s="148">
        <v>43068</v>
      </c>
      <c r="C178" s="149" t="s">
        <v>386</v>
      </c>
      <c r="D178" s="150">
        <v>17.16</v>
      </c>
      <c r="K178" s="151">
        <v>43083</v>
      </c>
      <c r="M178" s="155">
        <v>43087</v>
      </c>
      <c r="N178" s="155">
        <f>+M178</f>
        <v>43087</v>
      </c>
      <c r="O178" s="137">
        <f>+M178-K178</f>
        <v>4</v>
      </c>
      <c r="P178" s="137">
        <f>+N178-M178</f>
        <v>0</v>
      </c>
      <c r="Q178" s="137">
        <f>+N178-K178</f>
        <v>4</v>
      </c>
      <c r="R178" s="137">
        <f>+Q178-30</f>
        <v>-26</v>
      </c>
      <c r="S178" s="2">
        <v>29</v>
      </c>
      <c r="T178" s="138">
        <f>+P178*D178</f>
        <v>0</v>
      </c>
      <c r="U178" s="138">
        <f>+R178*D178</f>
        <v>-446.16</v>
      </c>
      <c r="V178" s="136">
        <f>IF(P178&gt;30,200+S178,100+S178)</f>
        <v>129</v>
      </c>
    </row>
    <row r="179" spans="1:22" ht="15">
      <c r="A179" s="147" t="s">
        <v>122</v>
      </c>
      <c r="B179" s="148">
        <v>43038</v>
      </c>
      <c r="C179" s="149" t="s">
        <v>385</v>
      </c>
      <c r="D179" s="150">
        <v>27.54</v>
      </c>
      <c r="K179" s="151">
        <v>43053</v>
      </c>
      <c r="M179" s="155">
        <v>43055</v>
      </c>
      <c r="N179" s="155">
        <f>+M179</f>
        <v>43055</v>
      </c>
      <c r="O179" s="137">
        <f>+M179-K179</f>
        <v>2</v>
      </c>
      <c r="P179" s="137">
        <f>+N179-M179</f>
        <v>0</v>
      </c>
      <c r="Q179" s="137">
        <f>+N179-K179</f>
        <v>2</v>
      </c>
      <c r="R179" s="137">
        <f>+Q179-30</f>
        <v>-28</v>
      </c>
      <c r="S179" s="2">
        <v>29</v>
      </c>
      <c r="T179" s="138">
        <f>+P179*D179</f>
        <v>0</v>
      </c>
      <c r="U179" s="138">
        <f>+R179*D179</f>
        <v>-771.12</v>
      </c>
      <c r="V179" s="136">
        <f>IF(P179&gt;30,200+S179,100+S179)</f>
        <v>129</v>
      </c>
    </row>
    <row r="180" spans="1:22" ht="15">
      <c r="A180" s="147" t="s">
        <v>121</v>
      </c>
      <c r="B180" s="148">
        <v>43038</v>
      </c>
      <c r="C180" s="149" t="s">
        <v>384</v>
      </c>
      <c r="D180" s="150">
        <v>21.39</v>
      </c>
      <c r="K180" s="151">
        <v>43053</v>
      </c>
      <c r="M180" s="155">
        <v>43055</v>
      </c>
      <c r="N180" s="155">
        <f>+M180</f>
        <v>43055</v>
      </c>
      <c r="O180" s="137">
        <f>+M180-K180</f>
        <v>2</v>
      </c>
      <c r="P180" s="137">
        <f>+N180-M180</f>
        <v>0</v>
      </c>
      <c r="Q180" s="137">
        <f>+N180-K180</f>
        <v>2</v>
      </c>
      <c r="R180" s="137">
        <f>+Q180-30</f>
        <v>-28</v>
      </c>
      <c r="S180" s="2">
        <v>29</v>
      </c>
      <c r="T180" s="138">
        <f>+P180*D180</f>
        <v>0</v>
      </c>
      <c r="U180" s="138">
        <f>+R180*D180</f>
        <v>-598.9200000000001</v>
      </c>
      <c r="V180" s="136">
        <f>IF(P180&gt;30,200+S180,100+S180)</f>
        <v>129</v>
      </c>
    </row>
    <row r="181" spans="1:22" ht="15">
      <c r="A181" s="147" t="s">
        <v>120</v>
      </c>
      <c r="B181" s="148">
        <v>43038</v>
      </c>
      <c r="C181" s="149" t="s">
        <v>383</v>
      </c>
      <c r="D181" s="150">
        <v>37.23</v>
      </c>
      <c r="K181" s="151">
        <v>43053</v>
      </c>
      <c r="M181" s="155">
        <v>43055</v>
      </c>
      <c r="N181" s="155">
        <f>+M181</f>
        <v>43055</v>
      </c>
      <c r="O181" s="137">
        <f>+M181-K181</f>
        <v>2</v>
      </c>
      <c r="P181" s="137">
        <f>+N181-M181</f>
        <v>0</v>
      </c>
      <c r="Q181" s="137">
        <f>+N181-K181</f>
        <v>2</v>
      </c>
      <c r="R181" s="137">
        <f>+Q181-30</f>
        <v>-28</v>
      </c>
      <c r="S181" s="2">
        <v>29</v>
      </c>
      <c r="T181" s="138">
        <f>+P181*D181</f>
        <v>0</v>
      </c>
      <c r="U181" s="138">
        <f>+R181*D181</f>
        <v>-1042.4399999999998</v>
      </c>
      <c r="V181" s="136">
        <f>IF(P181&gt;30,200+S181,100+S181)</f>
        <v>129</v>
      </c>
    </row>
    <row r="182" spans="1:22" ht="15">
      <c r="A182" s="147" t="s">
        <v>119</v>
      </c>
      <c r="B182" s="148">
        <v>43068</v>
      </c>
      <c r="C182" s="149" t="s">
        <v>382</v>
      </c>
      <c r="D182" s="150">
        <v>17.33</v>
      </c>
      <c r="K182" s="151">
        <v>43083</v>
      </c>
      <c r="M182" s="155">
        <v>43087</v>
      </c>
      <c r="N182" s="155">
        <f>+M182</f>
        <v>43087</v>
      </c>
      <c r="O182" s="137">
        <f>+M182-K182</f>
        <v>4</v>
      </c>
      <c r="P182" s="137">
        <f>+N182-M182</f>
        <v>0</v>
      </c>
      <c r="Q182" s="137">
        <f>+N182-K182</f>
        <v>4</v>
      </c>
      <c r="R182" s="137">
        <f>+Q182-30</f>
        <v>-26</v>
      </c>
      <c r="S182" s="2">
        <v>29</v>
      </c>
      <c r="T182" s="138">
        <f>+P182*D182</f>
        <v>0</v>
      </c>
      <c r="U182" s="138">
        <f>+R182*D182</f>
        <v>-450.5799999999999</v>
      </c>
      <c r="V182" s="136">
        <f>IF(P182&gt;30,200+S182,100+S182)</f>
        <v>129</v>
      </c>
    </row>
    <row r="183" spans="1:22" ht="15">
      <c r="A183" s="147" t="s">
        <v>118</v>
      </c>
      <c r="B183" s="148">
        <v>43040</v>
      </c>
      <c r="C183" s="149" t="s">
        <v>381</v>
      </c>
      <c r="D183" s="150">
        <v>133.81</v>
      </c>
      <c r="K183" s="151">
        <v>43040</v>
      </c>
      <c r="M183" s="155">
        <v>43041</v>
      </c>
      <c r="N183" s="155">
        <f>+M183</f>
        <v>43041</v>
      </c>
      <c r="O183" s="137">
        <f>+M183-K183</f>
        <v>1</v>
      </c>
      <c r="P183" s="137">
        <f>+N183-M183</f>
        <v>0</v>
      </c>
      <c r="Q183" s="137">
        <f>+N183-K183</f>
        <v>1</v>
      </c>
      <c r="R183" s="137">
        <f>+Q183-30</f>
        <v>-29</v>
      </c>
      <c r="S183" s="2">
        <v>29</v>
      </c>
      <c r="T183" s="138">
        <f>+P183*D183</f>
        <v>0</v>
      </c>
      <c r="U183" s="138">
        <f>+R183*D183</f>
        <v>-3880.4900000000002</v>
      </c>
      <c r="V183" s="136">
        <f>IF(P183&gt;30,200+S183,100+S183)</f>
        <v>129</v>
      </c>
    </row>
    <row r="184" spans="1:22" ht="15">
      <c r="A184" s="147" t="s">
        <v>115</v>
      </c>
      <c r="B184" s="148">
        <v>43082</v>
      </c>
      <c r="C184" s="149" t="s">
        <v>378</v>
      </c>
      <c r="D184" s="150">
        <v>229.99</v>
      </c>
      <c r="K184" s="151">
        <v>43080</v>
      </c>
      <c r="M184" s="155">
        <v>43080</v>
      </c>
      <c r="N184" s="155">
        <f>+M184</f>
        <v>43080</v>
      </c>
      <c r="O184" s="137">
        <f>+M184-K184</f>
        <v>0</v>
      </c>
      <c r="P184" s="137">
        <f>+N184-M184</f>
        <v>0</v>
      </c>
      <c r="Q184" s="137">
        <f>+N184-K184</f>
        <v>0</v>
      </c>
      <c r="R184" s="137">
        <f>+Q184-30</f>
        <v>-30</v>
      </c>
      <c r="S184" s="2">
        <v>69</v>
      </c>
      <c r="T184" s="138">
        <f>+P184*D184</f>
        <v>0</v>
      </c>
      <c r="U184" s="138">
        <f>+R184*D184</f>
        <v>-6899.700000000001</v>
      </c>
      <c r="V184" s="136">
        <f>IF(P184&gt;30,200+S184,100+S184)</f>
        <v>169</v>
      </c>
    </row>
    <row r="185" spans="1:22" ht="15">
      <c r="A185" s="147" t="s">
        <v>114</v>
      </c>
      <c r="B185" s="148">
        <v>43038</v>
      </c>
      <c r="C185" s="149" t="s">
        <v>377</v>
      </c>
      <c r="D185" s="150">
        <v>739.78</v>
      </c>
      <c r="K185" s="151">
        <v>43053</v>
      </c>
      <c r="M185" s="155">
        <v>43055</v>
      </c>
      <c r="N185" s="155">
        <f>+M185</f>
        <v>43055</v>
      </c>
      <c r="O185" s="137">
        <f>+M185-K185</f>
        <v>2</v>
      </c>
      <c r="P185" s="137">
        <f>+N185-M185</f>
        <v>0</v>
      </c>
      <c r="Q185" s="137">
        <f>+N185-K185</f>
        <v>2</v>
      </c>
      <c r="R185" s="137">
        <f>+Q185-30</f>
        <v>-28</v>
      </c>
      <c r="S185" s="2">
        <v>29</v>
      </c>
      <c r="T185" s="138">
        <f>+P185*D185</f>
        <v>0</v>
      </c>
      <c r="U185" s="138">
        <f>+R185*D185</f>
        <v>-20713.84</v>
      </c>
      <c r="V185" s="136">
        <f>IF(P185&gt;30,200+S185,100+S185)</f>
        <v>129</v>
      </c>
    </row>
    <row r="186" spans="1:22" ht="15">
      <c r="A186" s="147" t="s">
        <v>113</v>
      </c>
      <c r="B186" s="148">
        <v>43038</v>
      </c>
      <c r="C186" s="149" t="s">
        <v>376</v>
      </c>
      <c r="D186" s="150">
        <v>599</v>
      </c>
      <c r="K186" s="151">
        <v>43053</v>
      </c>
      <c r="M186" s="155">
        <v>43055</v>
      </c>
      <c r="N186" s="155">
        <f>+M186</f>
        <v>43055</v>
      </c>
      <c r="O186" s="137">
        <f>+M186-K186</f>
        <v>2</v>
      </c>
      <c r="P186" s="137">
        <f>+N186-M186</f>
        <v>0</v>
      </c>
      <c r="Q186" s="137">
        <f>+N186-K186</f>
        <v>2</v>
      </c>
      <c r="R186" s="137">
        <f>+Q186-30</f>
        <v>-28</v>
      </c>
      <c r="S186" s="2">
        <v>29</v>
      </c>
      <c r="T186" s="138">
        <f>+P186*D186</f>
        <v>0</v>
      </c>
      <c r="U186" s="138">
        <f>+R186*D186</f>
        <v>-16772</v>
      </c>
      <c r="V186" s="136">
        <f>IF(P186&gt;30,200+S186,100+S186)</f>
        <v>129</v>
      </c>
    </row>
    <row r="187" spans="1:22" ht="15">
      <c r="A187" s="147" t="s">
        <v>112</v>
      </c>
      <c r="B187" s="148">
        <v>43038</v>
      </c>
      <c r="C187" s="149" t="s">
        <v>375</v>
      </c>
      <c r="D187" s="150">
        <v>177.72</v>
      </c>
      <c r="K187" s="151">
        <v>43053</v>
      </c>
      <c r="M187" s="155">
        <v>43055</v>
      </c>
      <c r="N187" s="155">
        <f>+M187</f>
        <v>43055</v>
      </c>
      <c r="O187" s="137">
        <f>+M187-K187</f>
        <v>2</v>
      </c>
      <c r="P187" s="137">
        <f>+N187-M187</f>
        <v>0</v>
      </c>
      <c r="Q187" s="137">
        <f>+N187-K187</f>
        <v>2</v>
      </c>
      <c r="R187" s="137">
        <f>+Q187-30</f>
        <v>-28</v>
      </c>
      <c r="S187" s="2">
        <v>29</v>
      </c>
      <c r="T187" s="138">
        <f>+P187*D187</f>
        <v>0</v>
      </c>
      <c r="U187" s="138">
        <f>+R187*D187</f>
        <v>-4976.16</v>
      </c>
      <c r="V187" s="136">
        <f>IF(P187&gt;30,200+S187,100+S187)</f>
        <v>129</v>
      </c>
    </row>
    <row r="188" spans="1:22" ht="15">
      <c r="A188" s="147" t="s">
        <v>111</v>
      </c>
      <c r="B188" s="148">
        <v>43068</v>
      </c>
      <c r="C188" s="149" t="s">
        <v>374</v>
      </c>
      <c r="D188" s="150">
        <v>378.85</v>
      </c>
      <c r="K188" s="151">
        <v>43083</v>
      </c>
      <c r="M188" s="155">
        <v>43087</v>
      </c>
      <c r="N188" s="155">
        <f>+M188</f>
        <v>43087</v>
      </c>
      <c r="O188" s="137">
        <f>+M188-K188</f>
        <v>4</v>
      </c>
      <c r="P188" s="137">
        <f>+N188-M188</f>
        <v>0</v>
      </c>
      <c r="Q188" s="137">
        <f>+N188-K188</f>
        <v>4</v>
      </c>
      <c r="R188" s="137">
        <f>+Q188-30</f>
        <v>-26</v>
      </c>
      <c r="S188" s="2">
        <v>29</v>
      </c>
      <c r="T188" s="138">
        <f>+P188*D188</f>
        <v>0</v>
      </c>
      <c r="U188" s="138">
        <f>+R188*D188</f>
        <v>-9850.1</v>
      </c>
      <c r="V188" s="136">
        <f>IF(P188&gt;30,200+S188,100+S188)</f>
        <v>129</v>
      </c>
    </row>
    <row r="189" spans="1:22" ht="15">
      <c r="A189" s="147" t="s">
        <v>110</v>
      </c>
      <c r="B189" s="148">
        <v>43068</v>
      </c>
      <c r="C189" s="149" t="s">
        <v>373</v>
      </c>
      <c r="D189" s="150">
        <v>453.53</v>
      </c>
      <c r="K189" s="151">
        <v>43083</v>
      </c>
      <c r="M189" s="155">
        <v>43087</v>
      </c>
      <c r="N189" s="155">
        <f>+M189</f>
        <v>43087</v>
      </c>
      <c r="O189" s="137">
        <f>+M189-K189</f>
        <v>4</v>
      </c>
      <c r="P189" s="137">
        <f>+N189-M189</f>
        <v>0</v>
      </c>
      <c r="Q189" s="137">
        <f>+N189-K189</f>
        <v>4</v>
      </c>
      <c r="R189" s="137">
        <f>+Q189-30</f>
        <v>-26</v>
      </c>
      <c r="S189" s="2">
        <v>29</v>
      </c>
      <c r="T189" s="138">
        <f>+P189*D189</f>
        <v>0</v>
      </c>
      <c r="U189" s="138">
        <f>+R189*D189</f>
        <v>-11791.779999999999</v>
      </c>
      <c r="V189" s="136">
        <f>IF(P189&gt;30,200+S189,100+S189)</f>
        <v>129</v>
      </c>
    </row>
    <row r="190" spans="1:22" ht="15">
      <c r="A190" s="147" t="s">
        <v>109</v>
      </c>
      <c r="B190" s="148">
        <v>43068</v>
      </c>
      <c r="C190" s="149" t="s">
        <v>372</v>
      </c>
      <c r="D190" s="150">
        <v>361.33</v>
      </c>
      <c r="K190" s="151">
        <v>43083</v>
      </c>
      <c r="M190" s="155">
        <v>43087</v>
      </c>
      <c r="N190" s="155">
        <f>+M190</f>
        <v>43087</v>
      </c>
      <c r="O190" s="137">
        <f>+M190-K190</f>
        <v>4</v>
      </c>
      <c r="P190" s="137">
        <f>+N190-M190</f>
        <v>0</v>
      </c>
      <c r="Q190" s="137">
        <f>+N190-K190</f>
        <v>4</v>
      </c>
      <c r="R190" s="137">
        <f>+Q190-30</f>
        <v>-26</v>
      </c>
      <c r="S190" s="2">
        <v>29</v>
      </c>
      <c r="T190" s="138">
        <f>+P190*D190</f>
        <v>0</v>
      </c>
      <c r="U190" s="138">
        <f>+R190*D190</f>
        <v>-9394.58</v>
      </c>
      <c r="V190" s="136">
        <f>IF(P190&gt;30,200+S190,100+S190)</f>
        <v>129</v>
      </c>
    </row>
    <row r="191" spans="1:22" ht="15">
      <c r="A191" s="147" t="s">
        <v>637</v>
      </c>
      <c r="B191" s="148">
        <v>43038</v>
      </c>
      <c r="C191" s="149" t="s">
        <v>661</v>
      </c>
      <c r="D191" s="150">
        <v>16.76</v>
      </c>
      <c r="K191" s="151">
        <v>43123</v>
      </c>
      <c r="M191" s="155">
        <v>43055</v>
      </c>
      <c r="N191" s="155">
        <f>+M191</f>
        <v>43055</v>
      </c>
      <c r="O191" s="137">
        <f>+M191-K191</f>
        <v>-68</v>
      </c>
      <c r="P191" s="137">
        <f>+N191-M191</f>
        <v>0</v>
      </c>
      <c r="Q191" s="137">
        <f>+N191-K191</f>
        <v>-68</v>
      </c>
      <c r="R191" s="137">
        <f>+Q191-30</f>
        <v>-98</v>
      </c>
      <c r="S191" s="2">
        <v>29</v>
      </c>
      <c r="T191" s="138">
        <f>+P191*D191</f>
        <v>0</v>
      </c>
      <c r="U191" s="138">
        <f>+R191*D191</f>
        <v>-1642.4800000000002</v>
      </c>
      <c r="V191" s="136">
        <f>IF(P191&gt;30,200+S191,100+S191)</f>
        <v>129</v>
      </c>
    </row>
    <row r="192" spans="1:22" ht="15">
      <c r="A192" s="147" t="s">
        <v>638</v>
      </c>
      <c r="B192" s="148">
        <v>43038</v>
      </c>
      <c r="C192" s="149" t="s">
        <v>662</v>
      </c>
      <c r="D192" s="150">
        <v>16.65</v>
      </c>
      <c r="K192" s="151">
        <v>43123</v>
      </c>
      <c r="M192" s="155">
        <v>43055</v>
      </c>
      <c r="N192" s="155">
        <f>+M192</f>
        <v>43055</v>
      </c>
      <c r="O192" s="137">
        <f>+M192-K192</f>
        <v>-68</v>
      </c>
      <c r="P192" s="137">
        <f>+N192-M192</f>
        <v>0</v>
      </c>
      <c r="Q192" s="137">
        <f>+N192-K192</f>
        <v>-68</v>
      </c>
      <c r="R192" s="137">
        <f>+Q192-30</f>
        <v>-98</v>
      </c>
      <c r="S192" s="2">
        <v>29</v>
      </c>
      <c r="T192" s="138">
        <f>+P192*D192</f>
        <v>0</v>
      </c>
      <c r="U192" s="138">
        <f>+R192*D192</f>
        <v>-1631.6999999999998</v>
      </c>
      <c r="V192" s="136">
        <f>IF(P192&gt;30,200+S192,100+S192)</f>
        <v>129</v>
      </c>
    </row>
    <row r="193" spans="1:22" ht="15">
      <c r="A193" s="147" t="s">
        <v>639</v>
      </c>
      <c r="B193" s="148">
        <v>43038</v>
      </c>
      <c r="C193" s="149" t="s">
        <v>663</v>
      </c>
      <c r="D193" s="150">
        <v>15.11</v>
      </c>
      <c r="K193" s="151">
        <v>43123</v>
      </c>
      <c r="M193" s="155">
        <v>43055</v>
      </c>
      <c r="N193" s="155">
        <f>+M193</f>
        <v>43055</v>
      </c>
      <c r="O193" s="137">
        <f>+M193-K193</f>
        <v>-68</v>
      </c>
      <c r="P193" s="137">
        <f>+N193-M193</f>
        <v>0</v>
      </c>
      <c r="Q193" s="137">
        <f>+N193-K193</f>
        <v>-68</v>
      </c>
      <c r="R193" s="137">
        <f>+Q193-30</f>
        <v>-98</v>
      </c>
      <c r="S193" s="2">
        <v>29</v>
      </c>
      <c r="T193" s="138">
        <f>+P193*D193</f>
        <v>0</v>
      </c>
      <c r="U193" s="138">
        <f>+R193*D193</f>
        <v>-1480.78</v>
      </c>
      <c r="V193" s="136">
        <f>IF(P193&gt;30,200+S193,100+S193)</f>
        <v>129</v>
      </c>
    </row>
    <row r="194" spans="1:22" ht="15">
      <c r="A194" s="147" t="s">
        <v>640</v>
      </c>
      <c r="B194" s="148">
        <v>43038</v>
      </c>
      <c r="C194" s="149" t="s">
        <v>664</v>
      </c>
      <c r="D194" s="150">
        <v>209</v>
      </c>
      <c r="K194" s="151">
        <v>43125</v>
      </c>
      <c r="M194" s="155">
        <v>43048</v>
      </c>
      <c r="N194" s="155">
        <f>+M194</f>
        <v>43048</v>
      </c>
      <c r="O194" s="137">
        <f>+M194-K194</f>
        <v>-77</v>
      </c>
      <c r="P194" s="137">
        <f>+N194-M194</f>
        <v>0</v>
      </c>
      <c r="Q194" s="137">
        <f>+N194-K194</f>
        <v>-77</v>
      </c>
      <c r="R194" s="137">
        <f>+Q194-30</f>
        <v>-107</v>
      </c>
      <c r="S194" s="2">
        <v>22</v>
      </c>
      <c r="T194" s="138">
        <f>+P194*D194</f>
        <v>0</v>
      </c>
      <c r="U194" s="138">
        <f>+R194*D194</f>
        <v>-22363</v>
      </c>
      <c r="V194" s="136">
        <f>IF(P194&gt;30,200+S194,100+S194)</f>
        <v>122</v>
      </c>
    </row>
    <row r="195" spans="1:22" ht="15">
      <c r="A195" s="147" t="s">
        <v>641</v>
      </c>
      <c r="B195" s="148">
        <v>43062</v>
      </c>
      <c r="C195" s="149" t="s">
        <v>665</v>
      </c>
      <c r="D195" s="150">
        <v>-7.61</v>
      </c>
      <c r="K195" s="151">
        <v>43125</v>
      </c>
      <c r="M195" s="155">
        <v>43068</v>
      </c>
      <c r="N195" s="155">
        <f>+M195</f>
        <v>43068</v>
      </c>
      <c r="O195" s="137">
        <f>+M195-K195</f>
        <v>-57</v>
      </c>
      <c r="P195" s="137">
        <f>+N195-M195</f>
        <v>0</v>
      </c>
      <c r="Q195" s="137">
        <f>+N195-K195</f>
        <v>-57</v>
      </c>
      <c r="R195" s="137">
        <f>+Q195-30</f>
        <v>-87</v>
      </c>
      <c r="S195" s="2">
        <v>22</v>
      </c>
      <c r="T195" s="138">
        <f>+P195*D195</f>
        <v>0</v>
      </c>
      <c r="U195" s="138">
        <f>+R195*D195</f>
        <v>662.07</v>
      </c>
      <c r="V195" s="136">
        <f>IF(P195&gt;30,200+S195,100+S195)</f>
        <v>122</v>
      </c>
    </row>
    <row r="196" spans="1:22" ht="15">
      <c r="A196" s="147" t="s">
        <v>643</v>
      </c>
      <c r="B196" s="148">
        <v>43092</v>
      </c>
      <c r="C196" s="149" t="s">
        <v>667</v>
      </c>
      <c r="D196" s="150">
        <v>75.07</v>
      </c>
      <c r="K196" s="151">
        <v>43125</v>
      </c>
      <c r="M196" s="155">
        <v>43097</v>
      </c>
      <c r="N196" s="155">
        <f>+M196</f>
        <v>43097</v>
      </c>
      <c r="O196" s="137">
        <f>+M196-K196</f>
        <v>-28</v>
      </c>
      <c r="P196" s="137">
        <f>+N196-M196</f>
        <v>0</v>
      </c>
      <c r="Q196" s="137">
        <f>+N196-K196</f>
        <v>-28</v>
      </c>
      <c r="R196" s="137">
        <f>+Q196-30</f>
        <v>-58</v>
      </c>
      <c r="S196" s="2">
        <v>29</v>
      </c>
      <c r="T196" s="138">
        <f>+P196*D196</f>
        <v>0</v>
      </c>
      <c r="U196" s="138">
        <f>+R196*D196</f>
        <v>-4354.0599999999995</v>
      </c>
      <c r="V196" s="136">
        <f>IF(P196&gt;30,200+S196,100+S196)</f>
        <v>129</v>
      </c>
    </row>
    <row r="197" spans="1:22" ht="15">
      <c r="A197" s="147" t="s">
        <v>644</v>
      </c>
      <c r="B197" s="148">
        <v>43092</v>
      </c>
      <c r="C197" s="149" t="s">
        <v>668</v>
      </c>
      <c r="D197" s="150">
        <v>72.65</v>
      </c>
      <c r="K197" s="151">
        <v>43124</v>
      </c>
      <c r="M197" s="155">
        <v>43097</v>
      </c>
      <c r="N197" s="155">
        <f>+M197</f>
        <v>43097</v>
      </c>
      <c r="O197" s="137">
        <f>+M197-K197</f>
        <v>-27</v>
      </c>
      <c r="P197" s="137">
        <f>+N197-M197</f>
        <v>0</v>
      </c>
      <c r="Q197" s="137">
        <f>+N197-K197</f>
        <v>-27</v>
      </c>
      <c r="R197" s="137">
        <f>+Q197-30</f>
        <v>-57</v>
      </c>
      <c r="S197" s="2">
        <v>29</v>
      </c>
      <c r="T197" s="138">
        <f>+P197*D197</f>
        <v>0</v>
      </c>
      <c r="U197" s="138">
        <f>+R197*D197</f>
        <v>-4141.05</v>
      </c>
      <c r="V197" s="136">
        <f>IF(P197&gt;30,200+S197,100+S197)</f>
        <v>129</v>
      </c>
    </row>
    <row r="198" spans="1:22" ht="15">
      <c r="A198" s="147" t="s">
        <v>645</v>
      </c>
      <c r="B198" s="148">
        <v>43092</v>
      </c>
      <c r="C198" s="149" t="s">
        <v>669</v>
      </c>
      <c r="D198" s="150">
        <v>1057.39</v>
      </c>
      <c r="K198" s="151">
        <v>43092</v>
      </c>
      <c r="M198" s="155">
        <v>43097</v>
      </c>
      <c r="N198" s="155">
        <f>+M198</f>
        <v>43097</v>
      </c>
      <c r="O198" s="137">
        <f>+M198-K198</f>
        <v>5</v>
      </c>
      <c r="P198" s="137">
        <f>+N198-M198</f>
        <v>0</v>
      </c>
      <c r="Q198" s="137">
        <f>+N198-K198</f>
        <v>5</v>
      </c>
      <c r="R198" s="137">
        <f>+Q198-30</f>
        <v>-25</v>
      </c>
      <c r="S198" s="2">
        <v>29</v>
      </c>
      <c r="T198" s="138">
        <f>+P198*D198</f>
        <v>0</v>
      </c>
      <c r="U198" s="138">
        <f>+R198*D198</f>
        <v>-26434.750000000004</v>
      </c>
      <c r="V198" s="136">
        <f>IF(P198&gt;30,200+S198,100+S198)</f>
        <v>129</v>
      </c>
    </row>
    <row r="199" spans="1:22" ht="15">
      <c r="A199" s="147" t="s">
        <v>646</v>
      </c>
      <c r="B199" s="148">
        <v>43092</v>
      </c>
      <c r="C199" s="149" t="s">
        <v>670</v>
      </c>
      <c r="D199" s="150">
        <v>466.65</v>
      </c>
      <c r="K199" s="151">
        <v>43092</v>
      </c>
      <c r="M199" s="155">
        <v>43097</v>
      </c>
      <c r="N199" s="155">
        <f>+M199</f>
        <v>43097</v>
      </c>
      <c r="O199" s="137">
        <f>+M199-K199</f>
        <v>5</v>
      </c>
      <c r="P199" s="137">
        <f>+N199-M199</f>
        <v>0</v>
      </c>
      <c r="Q199" s="137">
        <f>+N199-K199</f>
        <v>5</v>
      </c>
      <c r="R199" s="137">
        <f>+Q199-30</f>
        <v>-25</v>
      </c>
      <c r="S199" s="2">
        <v>29</v>
      </c>
      <c r="T199" s="138">
        <f>+P199*D199</f>
        <v>0</v>
      </c>
      <c r="U199" s="138">
        <f>+R199*D199</f>
        <v>-11666.25</v>
      </c>
      <c r="V199" s="136">
        <f>IF(P199&gt;30,200+S199,100+S199)</f>
        <v>129</v>
      </c>
    </row>
    <row r="200" spans="1:22" ht="15">
      <c r="A200" s="147" t="s">
        <v>649</v>
      </c>
      <c r="B200" s="148">
        <v>43092</v>
      </c>
      <c r="C200" s="149" t="s">
        <v>673</v>
      </c>
      <c r="D200" s="150">
        <v>236.79</v>
      </c>
      <c r="K200" s="151">
        <v>43092</v>
      </c>
      <c r="M200" s="155">
        <v>43097</v>
      </c>
      <c r="N200" s="155">
        <f>+M200</f>
        <v>43097</v>
      </c>
      <c r="O200" s="137">
        <f>+M200-K200</f>
        <v>5</v>
      </c>
      <c r="P200" s="137">
        <f>+N200-M200</f>
        <v>0</v>
      </c>
      <c r="Q200" s="137">
        <f>+N200-K200</f>
        <v>5</v>
      </c>
      <c r="R200" s="137">
        <f>+Q200-30</f>
        <v>-25</v>
      </c>
      <c r="S200" s="2">
        <v>29</v>
      </c>
      <c r="T200" s="138">
        <f>+P200*D200</f>
        <v>0</v>
      </c>
      <c r="U200" s="138">
        <f>+R200*D200</f>
        <v>-5919.75</v>
      </c>
      <c r="V200" s="136">
        <f>IF(P200&gt;30,200+S200,100+S200)</f>
        <v>129</v>
      </c>
    </row>
    <row r="201" spans="1:22" ht="15">
      <c r="A201" s="147" t="s">
        <v>652</v>
      </c>
      <c r="B201" s="148">
        <v>43031</v>
      </c>
      <c r="C201" s="149" t="s">
        <v>676</v>
      </c>
      <c r="D201" s="150">
        <v>300.62</v>
      </c>
      <c r="K201" s="151">
        <v>43031</v>
      </c>
      <c r="M201" s="155">
        <v>43038</v>
      </c>
      <c r="N201" s="155">
        <f>+M201</f>
        <v>43038</v>
      </c>
      <c r="O201" s="137">
        <f>+M201-K201</f>
        <v>7</v>
      </c>
      <c r="P201" s="137">
        <f>+N201-M201</f>
        <v>0</v>
      </c>
      <c r="Q201" s="137">
        <f>+N201-K201</f>
        <v>7</v>
      </c>
      <c r="R201" s="137">
        <f>+Q201-30</f>
        <v>-23</v>
      </c>
      <c r="S201" s="2">
        <v>29</v>
      </c>
      <c r="T201" s="138">
        <f>+P201*D201</f>
        <v>0</v>
      </c>
      <c r="U201" s="138">
        <f>+R201*D201</f>
        <v>-6914.26</v>
      </c>
      <c r="V201" s="136">
        <f>IF(P201&gt;30,200+S201,100+S201)</f>
        <v>129</v>
      </c>
    </row>
    <row r="202" spans="1:22" ht="15">
      <c r="A202" s="147" t="s">
        <v>653</v>
      </c>
      <c r="B202" s="148">
        <v>43062</v>
      </c>
      <c r="C202" s="149" t="s">
        <v>677</v>
      </c>
      <c r="D202" s="150">
        <v>236.77</v>
      </c>
      <c r="K202" s="151">
        <v>43062</v>
      </c>
      <c r="M202" s="155">
        <v>43068</v>
      </c>
      <c r="N202" s="155">
        <f>+M202</f>
        <v>43068</v>
      </c>
      <c r="O202" s="137">
        <f>+M202-K202</f>
        <v>6</v>
      </c>
      <c r="P202" s="137">
        <f>+N202-M202</f>
        <v>0</v>
      </c>
      <c r="Q202" s="137">
        <f>+N202-K202</f>
        <v>6</v>
      </c>
      <c r="R202" s="137">
        <f>+Q202-30</f>
        <v>-24</v>
      </c>
      <c r="S202" s="2">
        <v>29</v>
      </c>
      <c r="T202" s="138">
        <f>+P202*D202</f>
        <v>0</v>
      </c>
      <c r="U202" s="138">
        <f>+R202*D202</f>
        <v>-5682.4800000000005</v>
      </c>
      <c r="V202" s="136">
        <f>IF(P202&gt;30,200+S202,100+S202)</f>
        <v>129</v>
      </c>
    </row>
    <row r="208" spans="1:11" ht="15">
      <c r="A208" s="147"/>
      <c r="B208" s="148"/>
      <c r="C208" s="149"/>
      <c r="D208" s="150"/>
      <c r="K208" s="151"/>
    </row>
    <row r="209" spans="1:11" ht="15">
      <c r="A209" s="147"/>
      <c r="B209" s="148"/>
      <c r="C209" s="149"/>
      <c r="D209" s="150"/>
      <c r="K209" s="15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Orria3">
    <tabColor indexed="41"/>
  </sheetPr>
  <dimension ref="A1:V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26" sqref="F26"/>
    </sheetView>
  </sheetViews>
  <sheetFormatPr defaultColWidth="9.140625" defaultRowHeight="12.75"/>
  <cols>
    <col min="1" max="1" width="14.57421875" style="2" customWidth="1"/>
    <col min="2" max="2" width="10.140625" style="14" bestFit="1" customWidth="1"/>
    <col min="3" max="3" width="7.421875" style="2" customWidth="1"/>
    <col min="4" max="4" width="11.140625" style="8" customWidth="1"/>
    <col min="5" max="5" width="7.421875" style="2" bestFit="1" customWidth="1"/>
    <col min="6" max="6" width="9.140625" style="2" customWidth="1"/>
    <col min="7" max="7" width="20.421875" style="2" customWidth="1"/>
    <col min="8" max="8" width="4.28125" style="2" customWidth="1"/>
    <col min="9" max="9" width="3.28125" style="2" customWidth="1"/>
    <col min="10" max="10" width="15.421875" style="2" customWidth="1"/>
    <col min="11" max="11" width="10.140625" style="14" bestFit="1" customWidth="1"/>
    <col min="12" max="12" width="5.7109375" style="14" customWidth="1"/>
    <col min="13" max="14" width="10.140625" style="14" bestFit="1" customWidth="1"/>
    <col min="15" max="16" width="9.28125" style="9" bestFit="1" customWidth="1"/>
    <col min="17" max="17" width="10.00390625" style="9" bestFit="1" customWidth="1"/>
    <col min="18" max="18" width="8.7109375" style="9" bestFit="1" customWidth="1"/>
    <col min="19" max="19" width="8.140625" style="2" customWidth="1"/>
    <col min="20" max="21" width="14.57421875" style="8" bestFit="1" customWidth="1"/>
    <col min="22" max="16384" width="9.140625" style="2" customWidth="1"/>
  </cols>
  <sheetData>
    <row r="1" spans="1:17" ht="11.25">
      <c r="A1" s="3" t="s">
        <v>80</v>
      </c>
      <c r="B1" s="16"/>
      <c r="C1" s="4"/>
      <c r="D1" s="7"/>
      <c r="E1" s="4"/>
      <c r="F1" s="4"/>
      <c r="G1" s="119" t="s">
        <v>101</v>
      </c>
      <c r="H1" s="4"/>
      <c r="I1" s="4"/>
      <c r="J1" s="4"/>
      <c r="O1" s="96"/>
      <c r="P1" s="96" t="s">
        <v>100</v>
      </c>
      <c r="Q1" s="115">
        <v>42551</v>
      </c>
    </row>
    <row r="3" spans="1:22" ht="38.25" customHeight="1">
      <c r="A3" s="5" t="s">
        <v>75</v>
      </c>
      <c r="B3" s="17" t="s">
        <v>70</v>
      </c>
      <c r="C3" s="6" t="s">
        <v>86</v>
      </c>
      <c r="D3" s="116" t="s">
        <v>44</v>
      </c>
      <c r="E3" s="5" t="s">
        <v>85</v>
      </c>
      <c r="F3" s="118" t="s">
        <v>71</v>
      </c>
      <c r="G3" s="118" t="s">
        <v>72</v>
      </c>
      <c r="H3" s="6" t="s">
        <v>83</v>
      </c>
      <c r="I3" s="6" t="s">
        <v>84</v>
      </c>
      <c r="J3" s="118" t="s">
        <v>73</v>
      </c>
      <c r="K3" s="117" t="s">
        <v>74</v>
      </c>
      <c r="L3" s="15" t="s">
        <v>76</v>
      </c>
      <c r="M3" s="15" t="s">
        <v>92</v>
      </c>
      <c r="N3" s="15" t="s">
        <v>93</v>
      </c>
      <c r="O3" s="10" t="s">
        <v>77</v>
      </c>
      <c r="P3" s="11" t="s">
        <v>87</v>
      </c>
      <c r="Q3" s="12" t="s">
        <v>88</v>
      </c>
      <c r="R3" s="13" t="s">
        <v>50</v>
      </c>
      <c r="S3" s="2" t="s">
        <v>94</v>
      </c>
      <c r="T3" s="8" t="s">
        <v>95</v>
      </c>
      <c r="U3" s="8" t="s">
        <v>96</v>
      </c>
      <c r="V3" s="2" t="s">
        <v>97</v>
      </c>
    </row>
    <row r="4" spans="2:21" s="120" customFormat="1" ht="11.25">
      <c r="B4" s="121"/>
      <c r="D4" s="123"/>
      <c r="K4" s="121"/>
      <c r="L4" s="121"/>
      <c r="M4" s="121"/>
      <c r="N4" s="121"/>
      <c r="O4" s="122"/>
      <c r="P4" s="122"/>
      <c r="Q4" s="122"/>
      <c r="R4" s="122"/>
      <c r="T4" s="123"/>
      <c r="U4" s="123"/>
    </row>
    <row r="5" spans="2:21" s="120" customFormat="1" ht="11.25">
      <c r="B5" s="121"/>
      <c r="D5" s="123"/>
      <c r="K5" s="121"/>
      <c r="L5" s="121"/>
      <c r="M5" s="121"/>
      <c r="N5" s="121"/>
      <c r="O5" s="122"/>
      <c r="P5" s="122"/>
      <c r="Q5" s="122"/>
      <c r="R5" s="122"/>
      <c r="T5" s="123"/>
      <c r="U5" s="123"/>
    </row>
    <row r="6" spans="2:21" s="120" customFormat="1" ht="11.25">
      <c r="B6" s="121"/>
      <c r="D6" s="123"/>
      <c r="K6" s="121"/>
      <c r="L6" s="121"/>
      <c r="M6" s="121"/>
      <c r="N6" s="121"/>
      <c r="O6" s="122"/>
      <c r="P6" s="122"/>
      <c r="Q6" s="122"/>
      <c r="R6" s="122"/>
      <c r="T6" s="123"/>
      <c r="U6" s="123"/>
    </row>
    <row r="7" spans="2:21" s="120" customFormat="1" ht="11.25">
      <c r="B7" s="121"/>
      <c r="D7" s="123"/>
      <c r="K7" s="121"/>
      <c r="L7" s="121"/>
      <c r="M7" s="121"/>
      <c r="N7" s="121"/>
      <c r="O7" s="122"/>
      <c r="P7" s="122"/>
      <c r="Q7" s="122"/>
      <c r="R7" s="122"/>
      <c r="T7" s="123"/>
      <c r="U7" s="123"/>
    </row>
    <row r="8" spans="2:21" s="120" customFormat="1" ht="11.25">
      <c r="B8" s="121"/>
      <c r="D8" s="123"/>
      <c r="K8" s="121"/>
      <c r="L8" s="121"/>
      <c r="M8" s="121"/>
      <c r="N8" s="121"/>
      <c r="O8" s="122"/>
      <c r="P8" s="122"/>
      <c r="Q8" s="122"/>
      <c r="R8" s="122"/>
      <c r="T8" s="123"/>
      <c r="U8" s="123"/>
    </row>
    <row r="9" spans="2:21" s="120" customFormat="1" ht="11.25">
      <c r="B9" s="121"/>
      <c r="D9" s="123"/>
      <c r="K9" s="121"/>
      <c r="L9" s="121"/>
      <c r="M9" s="121"/>
      <c r="N9" s="121"/>
      <c r="O9" s="122"/>
      <c r="P9" s="122"/>
      <c r="Q9" s="122"/>
      <c r="R9" s="122"/>
      <c r="T9" s="123"/>
      <c r="U9" s="123"/>
    </row>
    <row r="10" spans="2:21" s="120" customFormat="1" ht="11.25">
      <c r="B10" s="121"/>
      <c r="D10" s="123"/>
      <c r="K10" s="121"/>
      <c r="L10" s="121"/>
      <c r="M10" s="121"/>
      <c r="N10" s="121"/>
      <c r="O10" s="122"/>
      <c r="P10" s="122"/>
      <c r="Q10" s="122"/>
      <c r="R10" s="122"/>
      <c r="T10" s="123"/>
      <c r="U10" s="123"/>
    </row>
    <row r="11" spans="2:21" s="120" customFormat="1" ht="11.25">
      <c r="B11" s="121"/>
      <c r="D11" s="123"/>
      <c r="K11" s="121"/>
      <c r="L11" s="121"/>
      <c r="M11" s="121"/>
      <c r="N11" s="121"/>
      <c r="O11" s="122"/>
      <c r="P11" s="122"/>
      <c r="Q11" s="122"/>
      <c r="R11" s="122"/>
      <c r="T11" s="123"/>
      <c r="U11" s="123"/>
    </row>
    <row r="12" spans="2:21" s="120" customFormat="1" ht="11.25">
      <c r="B12" s="121"/>
      <c r="D12" s="123"/>
      <c r="K12" s="121"/>
      <c r="L12" s="121"/>
      <c r="M12" s="121"/>
      <c r="N12" s="121"/>
      <c r="O12" s="122"/>
      <c r="P12" s="122"/>
      <c r="Q12" s="122"/>
      <c r="R12" s="122"/>
      <c r="T12" s="123"/>
      <c r="U12" s="123"/>
    </row>
    <row r="13" spans="2:21" s="120" customFormat="1" ht="11.25">
      <c r="B13" s="121"/>
      <c r="D13" s="123"/>
      <c r="K13" s="121"/>
      <c r="L13" s="121"/>
      <c r="M13" s="121"/>
      <c r="N13" s="121"/>
      <c r="O13" s="122"/>
      <c r="P13" s="122"/>
      <c r="Q13" s="122"/>
      <c r="R13" s="122"/>
      <c r="T13" s="123"/>
      <c r="U13" s="123"/>
    </row>
    <row r="14" spans="2:21" s="120" customFormat="1" ht="11.25">
      <c r="B14" s="121"/>
      <c r="D14" s="123"/>
      <c r="K14" s="121"/>
      <c r="L14" s="121"/>
      <c r="M14" s="121"/>
      <c r="N14" s="121"/>
      <c r="O14" s="122"/>
      <c r="P14" s="122"/>
      <c r="Q14" s="122"/>
      <c r="R14" s="122"/>
      <c r="T14" s="123"/>
      <c r="U14" s="123"/>
    </row>
    <row r="15" spans="2:21" s="120" customFormat="1" ht="11.25">
      <c r="B15" s="121"/>
      <c r="D15" s="123"/>
      <c r="K15" s="121"/>
      <c r="L15" s="121"/>
      <c r="M15" s="121"/>
      <c r="N15" s="121"/>
      <c r="O15" s="122"/>
      <c r="P15" s="122"/>
      <c r="Q15" s="122"/>
      <c r="R15" s="122"/>
      <c r="T15" s="123"/>
      <c r="U15" s="123"/>
    </row>
    <row r="16" spans="2:21" s="120" customFormat="1" ht="11.25">
      <c r="B16" s="121"/>
      <c r="D16" s="123"/>
      <c r="K16" s="121"/>
      <c r="L16" s="121"/>
      <c r="M16" s="121"/>
      <c r="N16" s="121"/>
      <c r="O16" s="122"/>
      <c r="P16" s="122"/>
      <c r="Q16" s="122"/>
      <c r="R16" s="122"/>
      <c r="T16" s="123"/>
      <c r="U16" s="123"/>
    </row>
    <row r="17" spans="2:21" s="120" customFormat="1" ht="11.25">
      <c r="B17" s="121"/>
      <c r="D17" s="123"/>
      <c r="K17" s="121"/>
      <c r="L17" s="121"/>
      <c r="M17" s="121"/>
      <c r="N17" s="121"/>
      <c r="O17" s="122"/>
      <c r="P17" s="122"/>
      <c r="Q17" s="122"/>
      <c r="R17" s="122"/>
      <c r="T17" s="123"/>
      <c r="U17" s="123"/>
    </row>
    <row r="18" spans="2:21" s="120" customFormat="1" ht="11.25">
      <c r="B18" s="121"/>
      <c r="D18" s="123"/>
      <c r="K18" s="121"/>
      <c r="L18" s="121"/>
      <c r="M18" s="121"/>
      <c r="N18" s="121"/>
      <c r="O18" s="122"/>
      <c r="P18" s="122"/>
      <c r="Q18" s="122"/>
      <c r="R18" s="122"/>
      <c r="T18" s="123"/>
      <c r="U18" s="123"/>
    </row>
    <row r="19" spans="2:21" s="120" customFormat="1" ht="11.25">
      <c r="B19" s="121"/>
      <c r="D19" s="123"/>
      <c r="K19" s="121"/>
      <c r="L19" s="121"/>
      <c r="M19" s="121"/>
      <c r="N19" s="121"/>
      <c r="O19" s="122"/>
      <c r="P19" s="122"/>
      <c r="Q19" s="122"/>
      <c r="R19" s="122"/>
      <c r="T19" s="123"/>
      <c r="U19" s="123"/>
    </row>
    <row r="20" spans="2:21" s="120" customFormat="1" ht="11.25">
      <c r="B20" s="121"/>
      <c r="D20" s="123"/>
      <c r="K20" s="121"/>
      <c r="L20" s="121"/>
      <c r="M20" s="121"/>
      <c r="N20" s="121"/>
      <c r="O20" s="122"/>
      <c r="P20" s="122"/>
      <c r="Q20" s="122"/>
      <c r="R20" s="122"/>
      <c r="T20" s="123"/>
      <c r="U20" s="123"/>
    </row>
    <row r="21" spans="2:21" s="120" customFormat="1" ht="11.25">
      <c r="B21" s="121"/>
      <c r="D21" s="123"/>
      <c r="K21" s="121"/>
      <c r="L21" s="121"/>
      <c r="M21" s="121"/>
      <c r="N21" s="121"/>
      <c r="O21" s="122"/>
      <c r="P21" s="122"/>
      <c r="Q21" s="122"/>
      <c r="R21" s="122"/>
      <c r="T21" s="123"/>
      <c r="U21" s="123"/>
    </row>
    <row r="22" spans="2:21" s="120" customFormat="1" ht="11.25">
      <c r="B22" s="121"/>
      <c r="D22" s="123"/>
      <c r="K22" s="121"/>
      <c r="L22" s="121"/>
      <c r="M22" s="121"/>
      <c r="N22" s="121"/>
      <c r="O22" s="122"/>
      <c r="P22" s="122"/>
      <c r="Q22" s="122"/>
      <c r="R22" s="122"/>
      <c r="T22" s="123"/>
      <c r="U22" s="123"/>
    </row>
    <row r="23" spans="2:21" s="120" customFormat="1" ht="11.25">
      <c r="B23" s="121"/>
      <c r="D23" s="123"/>
      <c r="K23" s="121"/>
      <c r="L23" s="121"/>
      <c r="M23" s="121"/>
      <c r="N23" s="121"/>
      <c r="O23" s="122"/>
      <c r="P23" s="122"/>
      <c r="Q23" s="122"/>
      <c r="R23" s="122"/>
      <c r="T23" s="123"/>
      <c r="U23" s="123"/>
    </row>
    <row r="24" spans="2:21" s="120" customFormat="1" ht="11.25">
      <c r="B24" s="121"/>
      <c r="D24" s="123"/>
      <c r="K24" s="121"/>
      <c r="L24" s="121"/>
      <c r="M24" s="121"/>
      <c r="N24" s="121"/>
      <c r="O24" s="122"/>
      <c r="P24" s="122"/>
      <c r="Q24" s="122"/>
      <c r="R24" s="122"/>
      <c r="T24" s="123"/>
      <c r="U24" s="123"/>
    </row>
    <row r="25" spans="2:21" s="120" customFormat="1" ht="11.25">
      <c r="B25" s="121"/>
      <c r="D25" s="123"/>
      <c r="K25" s="121"/>
      <c r="L25" s="121"/>
      <c r="M25" s="121"/>
      <c r="N25" s="121"/>
      <c r="O25" s="122"/>
      <c r="P25" s="122"/>
      <c r="Q25" s="122"/>
      <c r="R25" s="122"/>
      <c r="T25" s="123"/>
      <c r="U25" s="123"/>
    </row>
    <row r="26" spans="2:21" s="120" customFormat="1" ht="11.25">
      <c r="B26" s="121"/>
      <c r="D26" s="123"/>
      <c r="K26" s="121"/>
      <c r="L26" s="121"/>
      <c r="M26" s="121"/>
      <c r="N26" s="121"/>
      <c r="O26" s="122"/>
      <c r="P26" s="122"/>
      <c r="Q26" s="122"/>
      <c r="R26" s="122"/>
      <c r="T26" s="123"/>
      <c r="U26" s="123"/>
    </row>
    <row r="27" spans="2:21" s="120" customFormat="1" ht="11.25">
      <c r="B27" s="121"/>
      <c r="D27" s="123"/>
      <c r="K27" s="121"/>
      <c r="L27" s="121"/>
      <c r="M27" s="121"/>
      <c r="N27" s="121"/>
      <c r="O27" s="122"/>
      <c r="P27" s="122"/>
      <c r="Q27" s="122"/>
      <c r="R27" s="122"/>
      <c r="T27" s="123"/>
      <c r="U27" s="123"/>
    </row>
    <row r="28" spans="2:21" s="120" customFormat="1" ht="11.25">
      <c r="B28" s="121"/>
      <c r="D28" s="123"/>
      <c r="K28" s="121"/>
      <c r="L28" s="121"/>
      <c r="M28" s="121"/>
      <c r="N28" s="121"/>
      <c r="O28" s="122"/>
      <c r="P28" s="122"/>
      <c r="Q28" s="122"/>
      <c r="R28" s="122"/>
      <c r="T28" s="123"/>
      <c r="U28" s="123"/>
    </row>
    <row r="29" spans="2:21" s="120" customFormat="1" ht="11.25">
      <c r="B29" s="121"/>
      <c r="D29" s="123"/>
      <c r="K29" s="121"/>
      <c r="L29" s="121"/>
      <c r="M29" s="121"/>
      <c r="N29" s="121"/>
      <c r="O29" s="122"/>
      <c r="P29" s="122"/>
      <c r="Q29" s="122"/>
      <c r="R29" s="122"/>
      <c r="T29" s="123"/>
      <c r="U29" s="123"/>
    </row>
    <row r="30" spans="2:21" s="120" customFormat="1" ht="11.25">
      <c r="B30" s="121"/>
      <c r="D30" s="123"/>
      <c r="K30" s="121"/>
      <c r="L30" s="121"/>
      <c r="M30" s="121"/>
      <c r="N30" s="121"/>
      <c r="O30" s="122"/>
      <c r="P30" s="122"/>
      <c r="Q30" s="122"/>
      <c r="R30" s="122"/>
      <c r="T30" s="123"/>
      <c r="U30" s="123"/>
    </row>
    <row r="31" spans="2:21" s="120" customFormat="1" ht="11.25">
      <c r="B31" s="121"/>
      <c r="D31" s="123"/>
      <c r="K31" s="121"/>
      <c r="L31" s="121"/>
      <c r="M31" s="121"/>
      <c r="N31" s="121"/>
      <c r="O31" s="122"/>
      <c r="P31" s="122"/>
      <c r="Q31" s="122"/>
      <c r="R31" s="122"/>
      <c r="T31" s="123"/>
      <c r="U31" s="123"/>
    </row>
    <row r="32" spans="2:21" s="120" customFormat="1" ht="11.25">
      <c r="B32" s="121"/>
      <c r="D32" s="123"/>
      <c r="K32" s="121"/>
      <c r="L32" s="121"/>
      <c r="M32" s="121"/>
      <c r="N32" s="121"/>
      <c r="O32" s="122"/>
      <c r="P32" s="122"/>
      <c r="Q32" s="122"/>
      <c r="R32" s="122"/>
      <c r="T32" s="123"/>
      <c r="U32" s="123"/>
    </row>
    <row r="33" spans="2:21" s="120" customFormat="1" ht="11.25">
      <c r="B33" s="121"/>
      <c r="D33" s="123"/>
      <c r="K33" s="121"/>
      <c r="L33" s="121"/>
      <c r="M33" s="121"/>
      <c r="N33" s="121"/>
      <c r="O33" s="122"/>
      <c r="P33" s="122"/>
      <c r="Q33" s="122"/>
      <c r="R33" s="122"/>
      <c r="T33" s="123"/>
      <c r="U33" s="123"/>
    </row>
    <row r="34" spans="2:21" s="120" customFormat="1" ht="11.25">
      <c r="B34" s="121"/>
      <c r="D34" s="123"/>
      <c r="K34" s="121"/>
      <c r="L34" s="121"/>
      <c r="M34" s="121"/>
      <c r="N34" s="121"/>
      <c r="O34" s="122"/>
      <c r="P34" s="122"/>
      <c r="Q34" s="122"/>
      <c r="R34" s="122"/>
      <c r="T34" s="123"/>
      <c r="U34" s="123"/>
    </row>
    <row r="35" spans="2:21" s="120" customFormat="1" ht="11.25">
      <c r="B35" s="121"/>
      <c r="D35" s="123"/>
      <c r="K35" s="121"/>
      <c r="L35" s="121"/>
      <c r="M35" s="121"/>
      <c r="N35" s="121"/>
      <c r="O35" s="122"/>
      <c r="P35" s="122"/>
      <c r="Q35" s="122"/>
      <c r="R35" s="122"/>
      <c r="T35" s="123"/>
      <c r="U35" s="123"/>
    </row>
    <row r="36" spans="2:21" s="120" customFormat="1" ht="11.25">
      <c r="B36" s="121"/>
      <c r="D36" s="123"/>
      <c r="K36" s="121"/>
      <c r="L36" s="121"/>
      <c r="M36" s="121"/>
      <c r="N36" s="121"/>
      <c r="O36" s="122"/>
      <c r="P36" s="122"/>
      <c r="Q36" s="122"/>
      <c r="R36" s="122"/>
      <c r="T36" s="123"/>
      <c r="U36" s="123"/>
    </row>
    <row r="37" spans="2:21" s="120" customFormat="1" ht="11.25">
      <c r="B37" s="121"/>
      <c r="D37" s="123"/>
      <c r="K37" s="121"/>
      <c r="L37" s="121"/>
      <c r="M37" s="121"/>
      <c r="N37" s="121"/>
      <c r="O37" s="122"/>
      <c r="P37" s="122"/>
      <c r="Q37" s="122"/>
      <c r="R37" s="122"/>
      <c r="T37" s="123"/>
      <c r="U37" s="123"/>
    </row>
    <row r="38" spans="2:21" s="120" customFormat="1" ht="11.25">
      <c r="B38" s="121"/>
      <c r="D38" s="123"/>
      <c r="K38" s="121"/>
      <c r="L38" s="121"/>
      <c r="M38" s="121"/>
      <c r="N38" s="121"/>
      <c r="O38" s="122"/>
      <c r="P38" s="122"/>
      <c r="Q38" s="122"/>
      <c r="R38" s="122"/>
      <c r="T38" s="123"/>
      <c r="U38" s="123"/>
    </row>
    <row r="39" spans="2:21" s="120" customFormat="1" ht="11.25">
      <c r="B39" s="121"/>
      <c r="D39" s="123"/>
      <c r="K39" s="121"/>
      <c r="L39" s="121"/>
      <c r="M39" s="121"/>
      <c r="N39" s="121"/>
      <c r="O39" s="122"/>
      <c r="P39" s="122"/>
      <c r="Q39" s="122"/>
      <c r="R39" s="122"/>
      <c r="T39" s="123"/>
      <c r="U39" s="123"/>
    </row>
    <row r="40" spans="2:21" s="120" customFormat="1" ht="11.25">
      <c r="B40" s="121"/>
      <c r="D40" s="123"/>
      <c r="K40" s="121"/>
      <c r="L40" s="121"/>
      <c r="M40" s="121"/>
      <c r="N40" s="121"/>
      <c r="O40" s="122"/>
      <c r="P40" s="122"/>
      <c r="Q40" s="122"/>
      <c r="R40" s="122"/>
      <c r="T40" s="123"/>
      <c r="U40" s="12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Orria4">
    <tabColor indexed="42"/>
  </sheetPr>
  <dimension ref="A2:EK95"/>
  <sheetViews>
    <sheetView zoomScalePageLayoutView="0" workbookViewId="0" topLeftCell="C10">
      <selection activeCell="C51" sqref="C51"/>
    </sheetView>
  </sheetViews>
  <sheetFormatPr defaultColWidth="9.140625" defaultRowHeight="12.75"/>
  <cols>
    <col min="1" max="1" width="16.7109375" style="2" customWidth="1"/>
    <col min="2" max="2" width="10.7109375" style="14" bestFit="1" customWidth="1"/>
    <col min="3" max="3" width="24.00390625" style="2" bestFit="1" customWidth="1"/>
    <col min="4" max="4" width="11.140625" style="8" customWidth="1"/>
    <col min="5" max="5" width="10.421875" style="2" customWidth="1"/>
    <col min="6" max="7" width="9.1406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0.7109375" style="14" bestFit="1" customWidth="1"/>
    <col min="12" max="12" width="9.140625" style="14" customWidth="1"/>
    <col min="13" max="13" width="10.140625" style="14" bestFit="1" customWidth="1"/>
    <col min="14" max="14" width="10.7109375" style="14" bestFit="1" customWidth="1"/>
    <col min="15" max="15" width="9.140625" style="9" customWidth="1"/>
    <col min="16" max="16" width="9.8515625" style="9" bestFit="1" customWidth="1"/>
    <col min="17" max="17" width="9.8515625" style="2" bestFit="1" customWidth="1"/>
    <col min="18" max="19" width="15.57421875" style="8" bestFit="1" customWidth="1"/>
    <col min="20" max="20" width="9.140625" style="2" customWidth="1"/>
    <col min="21" max="21" width="10.421875" style="2" bestFit="1" customWidth="1"/>
    <col min="22" max="22" width="9.140625" style="2" customWidth="1"/>
    <col min="23" max="141" width="9.140625" style="133" customWidth="1"/>
    <col min="142" max="16384" width="9.140625" style="2" customWidth="1"/>
  </cols>
  <sheetData>
    <row r="2" ht="11.25">
      <c r="D2" s="126" t="s">
        <v>103</v>
      </c>
    </row>
    <row r="3" spans="1:17" ht="11.25">
      <c r="A3" s="3" t="s">
        <v>81</v>
      </c>
      <c r="B3" s="16"/>
      <c r="C3" s="4"/>
      <c r="D3" s="125" t="s">
        <v>102</v>
      </c>
      <c r="E3" s="4"/>
      <c r="F3" s="4"/>
      <c r="G3" s="4"/>
      <c r="H3" s="4"/>
      <c r="I3" s="4"/>
      <c r="J3" s="4"/>
      <c r="N3" s="97"/>
      <c r="O3" s="96"/>
      <c r="P3" s="96" t="s">
        <v>100</v>
      </c>
      <c r="Q3" s="115">
        <v>42551</v>
      </c>
    </row>
    <row r="5" spans="1:20" ht="38.25" customHeight="1">
      <c r="A5" s="5" t="s">
        <v>75</v>
      </c>
      <c r="B5" s="17" t="s">
        <v>70</v>
      </c>
      <c r="C5" s="6" t="s">
        <v>86</v>
      </c>
      <c r="D5" s="116" t="s">
        <v>44</v>
      </c>
      <c r="E5" s="5" t="s">
        <v>85</v>
      </c>
      <c r="F5" s="124" t="s">
        <v>71</v>
      </c>
      <c r="G5" s="124" t="s">
        <v>72</v>
      </c>
      <c r="H5" s="6" t="s">
        <v>83</v>
      </c>
      <c r="I5" s="6" t="s">
        <v>84</v>
      </c>
      <c r="J5" s="6" t="s">
        <v>73</v>
      </c>
      <c r="K5" s="117" t="s">
        <v>74</v>
      </c>
      <c r="L5" s="15" t="s">
        <v>76</v>
      </c>
      <c r="M5" s="117" t="s">
        <v>92</v>
      </c>
      <c r="N5" s="117" t="s">
        <v>93</v>
      </c>
      <c r="O5" s="11" t="s">
        <v>82</v>
      </c>
      <c r="P5" s="13" t="s">
        <v>50</v>
      </c>
      <c r="Q5" s="131" t="s">
        <v>98</v>
      </c>
      <c r="R5" s="8" t="s">
        <v>95</v>
      </c>
      <c r="S5" s="8" t="s">
        <v>96</v>
      </c>
      <c r="T5" s="2" t="s">
        <v>99</v>
      </c>
    </row>
    <row r="6" spans="1:25" s="136" customFormat="1" ht="15">
      <c r="A6" s="152" t="s">
        <v>311</v>
      </c>
      <c r="B6" s="153">
        <v>43100</v>
      </c>
      <c r="C6" s="152" t="s">
        <v>573</v>
      </c>
      <c r="D6" s="154">
        <v>3888</v>
      </c>
      <c r="E6" s="139"/>
      <c r="F6" s="142"/>
      <c r="K6" s="153">
        <v>43100</v>
      </c>
      <c r="L6" s="145"/>
      <c r="M6" s="144">
        <v>43102</v>
      </c>
      <c r="N6" s="145">
        <f>+M6</f>
        <v>43102</v>
      </c>
      <c r="O6" s="137">
        <f>+M6-K6</f>
        <v>2</v>
      </c>
      <c r="P6" s="137">
        <f>+N6-M6</f>
        <v>0</v>
      </c>
      <c r="Q6" s="137">
        <f>+N6-K6</f>
        <v>2</v>
      </c>
      <c r="R6" s="137">
        <f>+Q6-30</f>
        <v>-28</v>
      </c>
      <c r="S6" s="136">
        <v>29</v>
      </c>
      <c r="T6" s="138">
        <f>+P6*D6</f>
        <v>0</v>
      </c>
      <c r="U6" s="138">
        <f>+R6*D6</f>
        <v>-108864</v>
      </c>
      <c r="V6" s="136">
        <f>IF(P6&gt;30,200+S6,100+S6)</f>
        <v>129</v>
      </c>
      <c r="Y6" s="146"/>
    </row>
    <row r="7" spans="1:25" s="136" customFormat="1" ht="15">
      <c r="A7" s="147" t="s">
        <v>253</v>
      </c>
      <c r="B7" s="148">
        <v>43069</v>
      </c>
      <c r="C7" s="149" t="s">
        <v>515</v>
      </c>
      <c r="D7" s="150">
        <v>54.93</v>
      </c>
      <c r="K7" s="151">
        <v>43089</v>
      </c>
      <c r="L7" s="145"/>
      <c r="M7" s="144">
        <v>43103</v>
      </c>
      <c r="N7" s="145">
        <f>+M7</f>
        <v>43103</v>
      </c>
      <c r="O7" s="137">
        <f>+M7-K7</f>
        <v>14</v>
      </c>
      <c r="P7" s="137">
        <f>+N7-M7</f>
        <v>0</v>
      </c>
      <c r="Q7" s="137">
        <f>+N7-K7</f>
        <v>14</v>
      </c>
      <c r="R7" s="137">
        <f>+Q7-30</f>
        <v>-16</v>
      </c>
      <c r="S7" s="136">
        <v>22</v>
      </c>
      <c r="T7" s="138">
        <f>+P7*D7</f>
        <v>0</v>
      </c>
      <c r="U7" s="138">
        <f>+R7*D7</f>
        <v>-878.88</v>
      </c>
      <c r="V7" s="136">
        <f>IF(P7&gt;30,200+S7,100+S7)</f>
        <v>122</v>
      </c>
      <c r="Y7" s="146"/>
    </row>
    <row r="8" spans="1:22" s="136" customFormat="1" ht="15">
      <c r="A8" s="147" t="s">
        <v>246</v>
      </c>
      <c r="B8" s="148">
        <v>43009</v>
      </c>
      <c r="C8" s="149" t="s">
        <v>508</v>
      </c>
      <c r="D8" s="150">
        <v>146.92</v>
      </c>
      <c r="K8" s="151">
        <v>43109</v>
      </c>
      <c r="L8" s="145"/>
      <c r="M8" s="144">
        <v>43115</v>
      </c>
      <c r="N8" s="145">
        <f>+M8</f>
        <v>43115</v>
      </c>
      <c r="O8" s="137">
        <f>+M8-K8</f>
        <v>6</v>
      </c>
      <c r="P8" s="137">
        <f>+N8-M8</f>
        <v>0</v>
      </c>
      <c r="Q8" s="137">
        <f>+N8-K8</f>
        <v>6</v>
      </c>
      <c r="R8" s="137">
        <f>+Q8-30</f>
        <v>-24</v>
      </c>
      <c r="S8" s="136">
        <v>29</v>
      </c>
      <c r="T8" s="138">
        <f>+P8*D8</f>
        <v>0</v>
      </c>
      <c r="U8" s="138">
        <f>+R8*D8</f>
        <v>-3526.08</v>
      </c>
      <c r="V8" s="136">
        <f>IF(P8&gt;30,200+S8,100+S8)</f>
        <v>129</v>
      </c>
    </row>
    <row r="9" spans="1:22" s="136" customFormat="1" ht="15">
      <c r="A9" s="147" t="s">
        <v>245</v>
      </c>
      <c r="B9" s="148">
        <v>43069</v>
      </c>
      <c r="C9" s="149" t="s">
        <v>507</v>
      </c>
      <c r="D9" s="150">
        <v>533.17</v>
      </c>
      <c r="K9" s="151">
        <v>43109</v>
      </c>
      <c r="L9" s="145"/>
      <c r="M9" s="144">
        <v>43115</v>
      </c>
      <c r="N9" s="145">
        <f>+M9</f>
        <v>43115</v>
      </c>
      <c r="O9" s="137">
        <f>+M9-K9</f>
        <v>6</v>
      </c>
      <c r="P9" s="137">
        <f>+N9-M9</f>
        <v>0</v>
      </c>
      <c r="Q9" s="137">
        <f>+N9-K9</f>
        <v>6</v>
      </c>
      <c r="R9" s="137">
        <f>+Q9-30</f>
        <v>-24</v>
      </c>
      <c r="S9" s="136">
        <v>29</v>
      </c>
      <c r="T9" s="138">
        <f>+P9*D9</f>
        <v>0</v>
      </c>
      <c r="U9" s="138">
        <f>+R9*D9</f>
        <v>-12796.079999999998</v>
      </c>
      <c r="V9" s="136">
        <f>IF(P9&gt;30,200+S9,100+S9)</f>
        <v>129</v>
      </c>
    </row>
    <row r="10" spans="1:22" s="136" customFormat="1" ht="15">
      <c r="A10" s="147" t="s">
        <v>244</v>
      </c>
      <c r="B10" s="148">
        <v>43074</v>
      </c>
      <c r="C10" s="149" t="s">
        <v>506</v>
      </c>
      <c r="D10" s="150">
        <v>3800.01</v>
      </c>
      <c r="K10" s="151">
        <v>43109</v>
      </c>
      <c r="L10" s="145"/>
      <c r="M10" s="144">
        <v>43115</v>
      </c>
      <c r="N10" s="145">
        <f>+M10</f>
        <v>43115</v>
      </c>
      <c r="O10" s="137">
        <f>+M10-K10</f>
        <v>6</v>
      </c>
      <c r="P10" s="137">
        <f>+N10-M10</f>
        <v>0</v>
      </c>
      <c r="Q10" s="137">
        <f>+N10-K10</f>
        <v>6</v>
      </c>
      <c r="R10" s="137">
        <f>+Q10-30</f>
        <v>-24</v>
      </c>
      <c r="S10" s="136">
        <v>29</v>
      </c>
      <c r="T10" s="138">
        <f>+P10*D10</f>
        <v>0</v>
      </c>
      <c r="U10" s="138">
        <f>+R10*D10</f>
        <v>-91200.24</v>
      </c>
      <c r="V10" s="136">
        <f>IF(P10&gt;30,200+S10,100+S10)</f>
        <v>129</v>
      </c>
    </row>
    <row r="11" spans="1:22" s="136" customFormat="1" ht="15">
      <c r="A11" s="147" t="s">
        <v>243</v>
      </c>
      <c r="B11" s="148">
        <v>43074</v>
      </c>
      <c r="C11" s="149" t="s">
        <v>505</v>
      </c>
      <c r="D11" s="150">
        <v>3800.01</v>
      </c>
      <c r="K11" s="151">
        <v>43109</v>
      </c>
      <c r="L11" s="145"/>
      <c r="M11" s="144">
        <v>43115</v>
      </c>
      <c r="N11" s="145">
        <f>+M11</f>
        <v>43115</v>
      </c>
      <c r="O11" s="137">
        <f>+M11-K11</f>
        <v>6</v>
      </c>
      <c r="P11" s="137">
        <f>+N11-M11</f>
        <v>0</v>
      </c>
      <c r="Q11" s="137">
        <f>+N11-K11</f>
        <v>6</v>
      </c>
      <c r="R11" s="137">
        <f>+Q11-30</f>
        <v>-24</v>
      </c>
      <c r="S11" s="136">
        <v>29</v>
      </c>
      <c r="T11" s="138">
        <f>+P11*D11</f>
        <v>0</v>
      </c>
      <c r="U11" s="138">
        <f>+R11*D11</f>
        <v>-91200.24</v>
      </c>
      <c r="V11" s="136">
        <f>IF(P11&gt;30,200+S11,100+S11)</f>
        <v>129</v>
      </c>
    </row>
    <row r="12" spans="1:22" s="133" customFormat="1" ht="15">
      <c r="A12" s="147" t="s">
        <v>242</v>
      </c>
      <c r="B12" s="148">
        <v>43074</v>
      </c>
      <c r="C12" s="149" t="s">
        <v>504</v>
      </c>
      <c r="D12" s="150">
        <v>2479.99</v>
      </c>
      <c r="K12" s="151">
        <v>43109</v>
      </c>
      <c r="L12" s="97"/>
      <c r="M12" s="144">
        <v>43115</v>
      </c>
      <c r="N12" s="145">
        <f>+M12</f>
        <v>43115</v>
      </c>
      <c r="O12" s="137">
        <f>+M12-K12</f>
        <v>6</v>
      </c>
      <c r="P12" s="137">
        <f>+N12-M12</f>
        <v>0</v>
      </c>
      <c r="Q12" s="137">
        <f>+N12-K12</f>
        <v>6</v>
      </c>
      <c r="R12" s="137">
        <f>+Q12-30</f>
        <v>-24</v>
      </c>
      <c r="S12" s="133">
        <v>29</v>
      </c>
      <c r="T12" s="138">
        <f>+P12*D12</f>
        <v>0</v>
      </c>
      <c r="U12" s="138">
        <f>+R12*D12</f>
        <v>-59519.759999999995</v>
      </c>
      <c r="V12" s="136">
        <f>IF(P12&gt;30,200+S12,100+S12)</f>
        <v>129</v>
      </c>
    </row>
    <row r="13" spans="1:22" s="133" customFormat="1" ht="15">
      <c r="A13" s="147" t="s">
        <v>240</v>
      </c>
      <c r="B13" s="148">
        <v>43084</v>
      </c>
      <c r="C13" s="149" t="s">
        <v>502</v>
      </c>
      <c r="D13" s="150">
        <v>1400</v>
      </c>
      <c r="K13" s="151">
        <v>43109</v>
      </c>
      <c r="L13" s="97"/>
      <c r="M13" s="144">
        <v>43115</v>
      </c>
      <c r="N13" s="145">
        <f>+M13</f>
        <v>43115</v>
      </c>
      <c r="O13" s="137">
        <f>+M13-K13</f>
        <v>6</v>
      </c>
      <c r="P13" s="137">
        <f>+N13-M13</f>
        <v>0</v>
      </c>
      <c r="Q13" s="137">
        <f>+N13-K13</f>
        <v>6</v>
      </c>
      <c r="R13" s="137">
        <f>+Q13-30</f>
        <v>-24</v>
      </c>
      <c r="S13" s="133">
        <v>29</v>
      </c>
      <c r="T13" s="138">
        <f>+P13*D13</f>
        <v>0</v>
      </c>
      <c r="U13" s="138">
        <f>+R13*D13</f>
        <v>-33600</v>
      </c>
      <c r="V13" s="136">
        <f>IF(P13&gt;30,200+S13,100+S13)</f>
        <v>129</v>
      </c>
    </row>
    <row r="14" spans="1:22" s="133" customFormat="1" ht="15">
      <c r="A14" s="147" t="s">
        <v>239</v>
      </c>
      <c r="B14" s="148">
        <v>43073</v>
      </c>
      <c r="C14" s="149" t="s">
        <v>501</v>
      </c>
      <c r="D14" s="150">
        <v>330</v>
      </c>
      <c r="K14" s="151">
        <v>43109</v>
      </c>
      <c r="L14" s="97"/>
      <c r="M14" s="144">
        <v>43115</v>
      </c>
      <c r="N14" s="145">
        <f>+M14</f>
        <v>43115</v>
      </c>
      <c r="O14" s="137">
        <f>+M14-K14</f>
        <v>6</v>
      </c>
      <c r="P14" s="137">
        <f>+N14-M14</f>
        <v>0</v>
      </c>
      <c r="Q14" s="137">
        <f>+N14-K14</f>
        <v>6</v>
      </c>
      <c r="R14" s="137">
        <f>+Q14-30</f>
        <v>-24</v>
      </c>
      <c r="S14" s="133">
        <v>29</v>
      </c>
      <c r="T14" s="138">
        <f>+P14*D14</f>
        <v>0</v>
      </c>
      <c r="U14" s="138">
        <f>+R14*D14</f>
        <v>-7920</v>
      </c>
      <c r="V14" s="136">
        <f>IF(P14&gt;30,200+S14,100+S14)</f>
        <v>129</v>
      </c>
    </row>
    <row r="15" spans="1:22" s="133" customFormat="1" ht="15">
      <c r="A15" s="147" t="s">
        <v>235</v>
      </c>
      <c r="B15" s="148">
        <v>43069</v>
      </c>
      <c r="C15" s="149" t="s">
        <v>497</v>
      </c>
      <c r="D15" s="150">
        <v>2250</v>
      </c>
      <c r="K15" s="151">
        <v>43109</v>
      </c>
      <c r="L15" s="97"/>
      <c r="M15" s="144">
        <v>43115</v>
      </c>
      <c r="N15" s="145">
        <f>+M15</f>
        <v>43115</v>
      </c>
      <c r="O15" s="137">
        <f>+M15-K15</f>
        <v>6</v>
      </c>
      <c r="P15" s="137">
        <f>+N15-M15</f>
        <v>0</v>
      </c>
      <c r="Q15" s="137">
        <f>+N15-K15</f>
        <v>6</v>
      </c>
      <c r="R15" s="137">
        <f>+Q15-30</f>
        <v>-24</v>
      </c>
      <c r="S15" s="133">
        <v>29</v>
      </c>
      <c r="T15" s="138">
        <f>+P15*D15</f>
        <v>0</v>
      </c>
      <c r="U15" s="138">
        <f>+R15*D15</f>
        <v>-54000</v>
      </c>
      <c r="V15" s="136">
        <f>IF(P15&gt;30,200+S15,100+S15)</f>
        <v>129</v>
      </c>
    </row>
    <row r="16" spans="1:22" s="133" customFormat="1" ht="15">
      <c r="A16" s="147" t="s">
        <v>234</v>
      </c>
      <c r="B16" s="148">
        <v>43069</v>
      </c>
      <c r="C16" s="149" t="s">
        <v>496</v>
      </c>
      <c r="D16" s="150">
        <v>3000</v>
      </c>
      <c r="K16" s="151">
        <v>43109</v>
      </c>
      <c r="L16" s="97"/>
      <c r="M16" s="144">
        <v>43115</v>
      </c>
      <c r="N16" s="145">
        <f>+M16</f>
        <v>43115</v>
      </c>
      <c r="O16" s="137">
        <f>+M16-K16</f>
        <v>6</v>
      </c>
      <c r="P16" s="137">
        <f>+N16-M16</f>
        <v>0</v>
      </c>
      <c r="Q16" s="137">
        <f>+N16-K16</f>
        <v>6</v>
      </c>
      <c r="R16" s="137">
        <f>+Q16-30</f>
        <v>-24</v>
      </c>
      <c r="S16" s="133">
        <v>29</v>
      </c>
      <c r="T16" s="138">
        <f>+P16*D16</f>
        <v>0</v>
      </c>
      <c r="U16" s="138">
        <f>+R16*D16</f>
        <v>-72000</v>
      </c>
      <c r="V16" s="136">
        <f>IF(P16&gt;30,200+S16,100+S16)</f>
        <v>129</v>
      </c>
    </row>
    <row r="17" spans="1:22" s="133" customFormat="1" ht="15">
      <c r="A17" s="147" t="s">
        <v>233</v>
      </c>
      <c r="B17" s="148">
        <v>43069</v>
      </c>
      <c r="C17" s="149" t="s">
        <v>495</v>
      </c>
      <c r="D17" s="150">
        <v>700</v>
      </c>
      <c r="K17" s="151">
        <v>43109</v>
      </c>
      <c r="L17" s="97"/>
      <c r="M17" s="144">
        <v>43115</v>
      </c>
      <c r="N17" s="145">
        <f>+M17</f>
        <v>43115</v>
      </c>
      <c r="O17" s="137">
        <f>+M17-K17</f>
        <v>6</v>
      </c>
      <c r="P17" s="137">
        <f>+N17-M17</f>
        <v>0</v>
      </c>
      <c r="Q17" s="137">
        <f>+N17-K17</f>
        <v>6</v>
      </c>
      <c r="R17" s="137">
        <f>+Q17-30</f>
        <v>-24</v>
      </c>
      <c r="S17" s="133">
        <v>29</v>
      </c>
      <c r="T17" s="138">
        <f>+P17*D17</f>
        <v>0</v>
      </c>
      <c r="U17" s="138">
        <f>+R17*D17</f>
        <v>-16800</v>
      </c>
      <c r="V17" s="136">
        <f>IF(P17&gt;30,200+S17,100+S17)</f>
        <v>129</v>
      </c>
    </row>
    <row r="18" spans="1:22" s="133" customFormat="1" ht="15">
      <c r="A18" s="147" t="s">
        <v>232</v>
      </c>
      <c r="B18" s="148">
        <v>43081</v>
      </c>
      <c r="C18" s="149" t="s">
        <v>494</v>
      </c>
      <c r="D18" s="150">
        <v>980.11</v>
      </c>
      <c r="K18" s="151">
        <v>43109</v>
      </c>
      <c r="L18" s="97"/>
      <c r="M18" s="144">
        <v>43115</v>
      </c>
      <c r="N18" s="145">
        <f>+M18</f>
        <v>43115</v>
      </c>
      <c r="O18" s="137">
        <f>+M18-K18</f>
        <v>6</v>
      </c>
      <c r="P18" s="137">
        <f>+N18-M18</f>
        <v>0</v>
      </c>
      <c r="Q18" s="137">
        <f>+N18-K18</f>
        <v>6</v>
      </c>
      <c r="R18" s="137">
        <f>+Q18-30</f>
        <v>-24</v>
      </c>
      <c r="S18" s="133">
        <v>29</v>
      </c>
      <c r="T18" s="138">
        <f>+P18*D18</f>
        <v>0</v>
      </c>
      <c r="U18" s="138">
        <f>+R18*D18</f>
        <v>-23522.64</v>
      </c>
      <c r="V18" s="136">
        <f>IF(P18&gt;30,200+S18,100+S18)</f>
        <v>129</v>
      </c>
    </row>
    <row r="19" spans="1:22" s="133" customFormat="1" ht="15">
      <c r="A19" s="147" t="s">
        <v>230</v>
      </c>
      <c r="B19" s="148">
        <v>43069</v>
      </c>
      <c r="C19" s="149" t="s">
        <v>492</v>
      </c>
      <c r="D19" s="150">
        <v>363.12</v>
      </c>
      <c r="K19" s="151">
        <v>43084</v>
      </c>
      <c r="L19" s="97"/>
      <c r="M19" s="144">
        <v>43115</v>
      </c>
      <c r="N19" s="145">
        <f>+M19</f>
        <v>43115</v>
      </c>
      <c r="O19" s="137">
        <f>+M19-K19</f>
        <v>31</v>
      </c>
      <c r="P19" s="137">
        <f>+N19-M19</f>
        <v>0</v>
      </c>
      <c r="Q19" s="137">
        <f>+N19-K19</f>
        <v>31</v>
      </c>
      <c r="R19" s="137">
        <f>+Q19-30</f>
        <v>1</v>
      </c>
      <c r="S19" s="133">
        <v>29</v>
      </c>
      <c r="T19" s="138">
        <f>+P19*D19</f>
        <v>0</v>
      </c>
      <c r="U19" s="138">
        <f>+R19*D19</f>
        <v>363.12</v>
      </c>
      <c r="V19" s="136">
        <f>IF(P19&gt;30,200+S19,100+S19)</f>
        <v>129</v>
      </c>
    </row>
    <row r="20" spans="1:22" s="133" customFormat="1" ht="15">
      <c r="A20" s="147" t="s">
        <v>229</v>
      </c>
      <c r="B20" s="148">
        <v>43076</v>
      </c>
      <c r="C20" s="149" t="s">
        <v>491</v>
      </c>
      <c r="D20" s="150">
        <v>2618.44</v>
      </c>
      <c r="K20" s="151">
        <v>43109</v>
      </c>
      <c r="L20" s="97"/>
      <c r="M20" s="144">
        <v>43115</v>
      </c>
      <c r="N20" s="145">
        <f>+M20</f>
        <v>43115</v>
      </c>
      <c r="O20" s="137">
        <f>+M20-K20</f>
        <v>6</v>
      </c>
      <c r="P20" s="137">
        <f>+N20-M20</f>
        <v>0</v>
      </c>
      <c r="Q20" s="137">
        <f>+N20-K20</f>
        <v>6</v>
      </c>
      <c r="R20" s="137">
        <f>+Q20-30</f>
        <v>-24</v>
      </c>
      <c r="S20" s="133">
        <v>29</v>
      </c>
      <c r="T20" s="138">
        <f>+P20*D20</f>
        <v>0</v>
      </c>
      <c r="U20" s="138">
        <f>+R20*D20</f>
        <v>-62842.56</v>
      </c>
      <c r="V20" s="136">
        <f>IF(P20&gt;30,200+S20,100+S20)</f>
        <v>129</v>
      </c>
    </row>
    <row r="21" spans="1:22" s="133" customFormat="1" ht="15">
      <c r="A21" s="147" t="s">
        <v>228</v>
      </c>
      <c r="B21" s="148">
        <v>43076</v>
      </c>
      <c r="C21" s="149" t="s">
        <v>490</v>
      </c>
      <c r="D21" s="150">
        <v>4271.31</v>
      </c>
      <c r="K21" s="151">
        <v>43109</v>
      </c>
      <c r="L21" s="97"/>
      <c r="M21" s="144">
        <v>43115</v>
      </c>
      <c r="N21" s="145">
        <f>+M21</f>
        <v>43115</v>
      </c>
      <c r="O21" s="137">
        <f>+M21-K21</f>
        <v>6</v>
      </c>
      <c r="P21" s="137">
        <f>+N21-M21</f>
        <v>0</v>
      </c>
      <c r="Q21" s="137">
        <f>+N21-K21</f>
        <v>6</v>
      </c>
      <c r="R21" s="137">
        <f>+Q21-30</f>
        <v>-24</v>
      </c>
      <c r="S21" s="133">
        <v>21</v>
      </c>
      <c r="T21" s="138">
        <f>+P21*D21</f>
        <v>0</v>
      </c>
      <c r="U21" s="138">
        <f>+R21*D21</f>
        <v>-102511.44</v>
      </c>
      <c r="V21" s="136">
        <f>IF(P21&gt;30,200+S21,100+S21)</f>
        <v>121</v>
      </c>
    </row>
    <row r="22" spans="1:22" s="133" customFormat="1" ht="15">
      <c r="A22" s="147" t="s">
        <v>226</v>
      </c>
      <c r="B22" s="148">
        <v>43069</v>
      </c>
      <c r="C22" s="149" t="s">
        <v>488</v>
      </c>
      <c r="D22" s="150">
        <v>57.78</v>
      </c>
      <c r="K22" s="151">
        <v>43069</v>
      </c>
      <c r="L22" s="97"/>
      <c r="M22" s="144">
        <v>43103</v>
      </c>
      <c r="N22" s="145">
        <f>+M22</f>
        <v>43103</v>
      </c>
      <c r="O22" s="137">
        <f>+M22-K22</f>
        <v>34</v>
      </c>
      <c r="P22" s="137">
        <f>+N22-M22</f>
        <v>0</v>
      </c>
      <c r="Q22" s="137">
        <f>+N22-K22</f>
        <v>34</v>
      </c>
      <c r="R22" s="137">
        <f>+Q22-30</f>
        <v>4</v>
      </c>
      <c r="S22" s="133">
        <v>22</v>
      </c>
      <c r="T22" s="138">
        <f>+P22*D22</f>
        <v>0</v>
      </c>
      <c r="U22" s="138">
        <f>+R22*D22</f>
        <v>231.12</v>
      </c>
      <c r="V22" s="136">
        <f>IF(P22&gt;30,200+S22,100+S22)</f>
        <v>122</v>
      </c>
    </row>
    <row r="23" spans="1:141" ht="15">
      <c r="A23" s="147" t="s">
        <v>222</v>
      </c>
      <c r="B23" s="148">
        <v>43055</v>
      </c>
      <c r="C23" s="149" t="s">
        <v>484</v>
      </c>
      <c r="D23" s="150">
        <v>26.44</v>
      </c>
      <c r="K23" s="151">
        <v>43109</v>
      </c>
      <c r="M23" s="155">
        <v>43116</v>
      </c>
      <c r="N23" s="156">
        <f>+M23</f>
        <v>43116</v>
      </c>
      <c r="O23" s="137">
        <f>+M23-K23</f>
        <v>7</v>
      </c>
      <c r="P23" s="137">
        <f>+N23-M23</f>
        <v>0</v>
      </c>
      <c r="Q23" s="137">
        <f>+N23-K23</f>
        <v>7</v>
      </c>
      <c r="R23" s="137">
        <f>+Q23-30</f>
        <v>-23</v>
      </c>
      <c r="S23" s="2">
        <v>22</v>
      </c>
      <c r="T23" s="138">
        <f>+P23*D23</f>
        <v>0</v>
      </c>
      <c r="U23" s="138">
        <f>+R23*D23</f>
        <v>-608.12</v>
      </c>
      <c r="V23" s="136">
        <f>IF(P23&gt;30,200+S23,100+S23)</f>
        <v>122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</row>
    <row r="24" spans="1:141" ht="15">
      <c r="A24" s="147" t="s">
        <v>221</v>
      </c>
      <c r="B24" s="148">
        <v>43069</v>
      </c>
      <c r="C24" s="149" t="s">
        <v>483</v>
      </c>
      <c r="D24" s="150">
        <v>185.4</v>
      </c>
      <c r="K24" s="151">
        <v>43109</v>
      </c>
      <c r="M24" s="155">
        <v>43115</v>
      </c>
      <c r="N24" s="156">
        <f>+M24</f>
        <v>43115</v>
      </c>
      <c r="O24" s="137">
        <f>+M24-K24</f>
        <v>6</v>
      </c>
      <c r="P24" s="137">
        <f>+N24-M24</f>
        <v>0</v>
      </c>
      <c r="Q24" s="137">
        <f>+N24-K24</f>
        <v>6</v>
      </c>
      <c r="R24" s="137">
        <f>+Q24-30</f>
        <v>-24</v>
      </c>
      <c r="S24" s="2">
        <v>29</v>
      </c>
      <c r="T24" s="138">
        <f>+P24*D24</f>
        <v>0</v>
      </c>
      <c r="U24" s="138">
        <f>+R24*D24</f>
        <v>-4449.6</v>
      </c>
      <c r="V24" s="136">
        <f>IF(P24&gt;30,200+S24,100+S24)</f>
        <v>129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</row>
    <row r="25" spans="1:141" ht="15">
      <c r="A25" s="147" t="s">
        <v>220</v>
      </c>
      <c r="B25" s="148">
        <v>43067</v>
      </c>
      <c r="C25" s="149" t="s">
        <v>482</v>
      </c>
      <c r="D25" s="150">
        <v>263.44</v>
      </c>
      <c r="K25" s="151">
        <v>43067</v>
      </c>
      <c r="M25" s="155">
        <v>43102</v>
      </c>
      <c r="N25" s="156">
        <f>+M25</f>
        <v>43102</v>
      </c>
      <c r="O25" s="137">
        <f>+M25-K25</f>
        <v>35</v>
      </c>
      <c r="P25" s="137">
        <f>+N25-M25</f>
        <v>0</v>
      </c>
      <c r="Q25" s="137">
        <f>+N25-K25</f>
        <v>35</v>
      </c>
      <c r="R25" s="137">
        <f>+Q25-30</f>
        <v>5</v>
      </c>
      <c r="S25" s="2">
        <v>21</v>
      </c>
      <c r="T25" s="138">
        <f>+P25*D25</f>
        <v>0</v>
      </c>
      <c r="U25" s="138">
        <f>+R25*D25</f>
        <v>1317.2</v>
      </c>
      <c r="V25" s="136">
        <f>IF(P25&gt;30,200+S25,100+S25)</f>
        <v>121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</row>
    <row r="26" spans="1:141" ht="15">
      <c r="A26" s="147" t="s">
        <v>217</v>
      </c>
      <c r="B26" s="148">
        <v>43067</v>
      </c>
      <c r="C26" s="149" t="s">
        <v>480</v>
      </c>
      <c r="D26" s="150">
        <v>60.72</v>
      </c>
      <c r="K26" s="151">
        <v>43067</v>
      </c>
      <c r="M26" s="155">
        <v>43102</v>
      </c>
      <c r="N26" s="156">
        <f>+M26</f>
        <v>43102</v>
      </c>
      <c r="O26" s="137">
        <f>+M26-K26</f>
        <v>35</v>
      </c>
      <c r="P26" s="137">
        <f>+N26-M26</f>
        <v>0</v>
      </c>
      <c r="Q26" s="137">
        <f>+N26-K26</f>
        <v>35</v>
      </c>
      <c r="R26" s="137">
        <f>+Q26-30</f>
        <v>5</v>
      </c>
      <c r="S26" s="2">
        <v>21</v>
      </c>
      <c r="T26" s="138">
        <f>+P26*D26</f>
        <v>0</v>
      </c>
      <c r="U26" s="138">
        <f>+R26*D26</f>
        <v>303.6</v>
      </c>
      <c r="V26" s="136">
        <f>IF(P26&gt;30,200+S26,100+S26)</f>
        <v>121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</row>
    <row r="27" spans="1:141" ht="15">
      <c r="A27" s="147" t="s">
        <v>216</v>
      </c>
      <c r="B27" s="148">
        <v>43067</v>
      </c>
      <c r="C27" s="149" t="s">
        <v>479</v>
      </c>
      <c r="D27" s="150">
        <v>62.18</v>
      </c>
      <c r="K27" s="151">
        <v>43067</v>
      </c>
      <c r="M27" s="155">
        <v>43102</v>
      </c>
      <c r="N27" s="156">
        <f>+M27</f>
        <v>43102</v>
      </c>
      <c r="O27" s="137">
        <f>+M27-K27</f>
        <v>35</v>
      </c>
      <c r="P27" s="137">
        <f>+N27-M27</f>
        <v>0</v>
      </c>
      <c r="Q27" s="137">
        <f>+N27-K27</f>
        <v>35</v>
      </c>
      <c r="R27" s="137">
        <f>+Q27-30</f>
        <v>5</v>
      </c>
      <c r="S27" s="2">
        <v>21</v>
      </c>
      <c r="T27" s="138">
        <f>+P27*D27</f>
        <v>0</v>
      </c>
      <c r="U27" s="138">
        <f>+R27*D27</f>
        <v>310.9</v>
      </c>
      <c r="V27" s="136">
        <f>IF(P27&gt;30,200+S27,100+S27)</f>
        <v>121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</row>
    <row r="28" spans="1:141" ht="15">
      <c r="A28" s="147" t="s">
        <v>215</v>
      </c>
      <c r="B28" s="148">
        <v>43091</v>
      </c>
      <c r="C28" s="149" t="s">
        <v>478</v>
      </c>
      <c r="D28" s="150">
        <v>550</v>
      </c>
      <c r="K28" s="151">
        <v>43109</v>
      </c>
      <c r="M28" s="155">
        <v>43115</v>
      </c>
      <c r="N28" s="156">
        <f>+M28</f>
        <v>43115</v>
      </c>
      <c r="O28" s="137">
        <f>+M28-K28</f>
        <v>6</v>
      </c>
      <c r="P28" s="137">
        <f>+N28-M28</f>
        <v>0</v>
      </c>
      <c r="Q28" s="137">
        <f>+N28-K28</f>
        <v>6</v>
      </c>
      <c r="R28" s="137">
        <f>+Q28-30</f>
        <v>-24</v>
      </c>
      <c r="S28" s="2">
        <v>29</v>
      </c>
      <c r="T28" s="138">
        <f>+P28*D28</f>
        <v>0</v>
      </c>
      <c r="U28" s="138">
        <f>+R28*D28</f>
        <v>-13200</v>
      </c>
      <c r="V28" s="136">
        <f>IF(P28&gt;30,200+S28,100+S28)</f>
        <v>129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</row>
    <row r="29" spans="1:141" ht="15">
      <c r="A29" s="147" t="s">
        <v>213</v>
      </c>
      <c r="B29" s="148">
        <v>43098</v>
      </c>
      <c r="C29" s="149" t="s">
        <v>476</v>
      </c>
      <c r="D29" s="150">
        <v>2778</v>
      </c>
      <c r="K29" s="151">
        <v>43098</v>
      </c>
      <c r="M29" s="155">
        <v>43109</v>
      </c>
      <c r="N29" s="156">
        <f>+M29</f>
        <v>43109</v>
      </c>
      <c r="O29" s="137">
        <f>+M29-K29</f>
        <v>11</v>
      </c>
      <c r="P29" s="137">
        <f>+N29-M29</f>
        <v>0</v>
      </c>
      <c r="Q29" s="137">
        <f>+N29-K29</f>
        <v>11</v>
      </c>
      <c r="R29" s="137">
        <f>+Q29-30</f>
        <v>-19</v>
      </c>
      <c r="S29" s="2">
        <v>29</v>
      </c>
      <c r="T29" s="138">
        <f>+P29*D29</f>
        <v>0</v>
      </c>
      <c r="U29" s="138">
        <f>+R29*D29</f>
        <v>-52782</v>
      </c>
      <c r="V29" s="136">
        <f>IF(P29&gt;30,200+S29,100+S29)</f>
        <v>129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</row>
    <row r="30" spans="1:141" ht="15">
      <c r="A30" s="147" t="s">
        <v>211</v>
      </c>
      <c r="B30" s="148">
        <v>43100</v>
      </c>
      <c r="C30" s="149" t="s">
        <v>474</v>
      </c>
      <c r="D30" s="150">
        <v>53.24</v>
      </c>
      <c r="K30" s="151">
        <v>43100</v>
      </c>
      <c r="M30" s="155">
        <v>43105</v>
      </c>
      <c r="N30" s="156">
        <f>+M30</f>
        <v>43105</v>
      </c>
      <c r="O30" s="137">
        <f>+M30-K30</f>
        <v>5</v>
      </c>
      <c r="P30" s="137">
        <f>+N30-M30</f>
        <v>0</v>
      </c>
      <c r="Q30" s="137">
        <f>+N30-K30</f>
        <v>5</v>
      </c>
      <c r="R30" s="137">
        <f>+Q30-30</f>
        <v>-25</v>
      </c>
      <c r="S30" s="2">
        <v>29</v>
      </c>
      <c r="T30" s="138">
        <f>+P30*D30</f>
        <v>0</v>
      </c>
      <c r="U30" s="138">
        <f>+R30*D30</f>
        <v>-1331</v>
      </c>
      <c r="V30" s="136">
        <f>IF(P30&gt;30,200+S30,100+S30)</f>
        <v>129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</row>
    <row r="31" spans="1:141" ht="15">
      <c r="A31" s="147" t="s">
        <v>210</v>
      </c>
      <c r="B31" s="148">
        <v>43100</v>
      </c>
      <c r="C31" s="149" t="s">
        <v>473</v>
      </c>
      <c r="D31" s="150">
        <v>445.53</v>
      </c>
      <c r="K31" s="151">
        <v>43110</v>
      </c>
      <c r="M31" s="155">
        <v>43115</v>
      </c>
      <c r="N31" s="156">
        <f>+M31</f>
        <v>43115</v>
      </c>
      <c r="O31" s="137">
        <f>+M31-K31</f>
        <v>5</v>
      </c>
      <c r="P31" s="137">
        <f>+N31-M31</f>
        <v>0</v>
      </c>
      <c r="Q31" s="137">
        <f>+N31-K31</f>
        <v>5</v>
      </c>
      <c r="R31" s="137">
        <f>+Q31-30</f>
        <v>-25</v>
      </c>
      <c r="S31" s="2">
        <v>29</v>
      </c>
      <c r="T31" s="138">
        <f>+P31*D31</f>
        <v>0</v>
      </c>
      <c r="U31" s="138">
        <f>+R31*D31</f>
        <v>-11138.25</v>
      </c>
      <c r="V31" s="136">
        <f>IF(P31&gt;30,200+S31,100+S31)</f>
        <v>129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</row>
    <row r="32" spans="1:141" ht="15">
      <c r="A32" s="147" t="s">
        <v>209</v>
      </c>
      <c r="B32" s="148">
        <v>43098</v>
      </c>
      <c r="C32" s="149" t="s">
        <v>472</v>
      </c>
      <c r="D32" s="150">
        <v>2750</v>
      </c>
      <c r="K32" s="151">
        <v>43110</v>
      </c>
      <c r="M32" s="155">
        <v>43115</v>
      </c>
      <c r="N32" s="156">
        <f>+M32</f>
        <v>43115</v>
      </c>
      <c r="O32" s="137">
        <f>+M32-K32</f>
        <v>5</v>
      </c>
      <c r="P32" s="137">
        <f>+N32-M32</f>
        <v>0</v>
      </c>
      <c r="Q32" s="137">
        <f>+N32-K32</f>
        <v>5</v>
      </c>
      <c r="R32" s="137">
        <f>+Q32-30</f>
        <v>-25</v>
      </c>
      <c r="S32" s="2">
        <v>29</v>
      </c>
      <c r="T32" s="138">
        <f>+P32*D32</f>
        <v>0</v>
      </c>
      <c r="U32" s="138">
        <f>+R32*D32</f>
        <v>-68750</v>
      </c>
      <c r="V32" s="136">
        <f>IF(P32&gt;30,200+S32,100+S32)</f>
        <v>129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</row>
    <row r="33" spans="1:141" ht="15">
      <c r="A33" s="147" t="s">
        <v>208</v>
      </c>
      <c r="B33" s="148">
        <v>43098</v>
      </c>
      <c r="C33" s="149" t="s">
        <v>471</v>
      </c>
      <c r="D33" s="150">
        <v>70.18</v>
      </c>
      <c r="K33" s="151">
        <v>43110</v>
      </c>
      <c r="M33" s="155">
        <v>43115</v>
      </c>
      <c r="N33" s="156">
        <f>+M33</f>
        <v>43115</v>
      </c>
      <c r="O33" s="137">
        <f>+M33-K33</f>
        <v>5</v>
      </c>
      <c r="P33" s="137">
        <f>+N33-M33</f>
        <v>0</v>
      </c>
      <c r="Q33" s="137">
        <f>+N33-K33</f>
        <v>5</v>
      </c>
      <c r="R33" s="137">
        <f>+Q33-30</f>
        <v>-25</v>
      </c>
      <c r="S33" s="2">
        <v>29</v>
      </c>
      <c r="T33" s="138">
        <f>+P33*D33</f>
        <v>0</v>
      </c>
      <c r="U33" s="138">
        <f>+R33*D33</f>
        <v>-1754.5000000000002</v>
      </c>
      <c r="V33" s="136">
        <f>IF(P33&gt;30,200+S33,100+S33)</f>
        <v>129</v>
      </c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</row>
    <row r="34" spans="1:141" ht="15">
      <c r="A34" s="147" t="s">
        <v>205</v>
      </c>
      <c r="B34" s="148">
        <v>43069</v>
      </c>
      <c r="C34" s="149" t="s">
        <v>468</v>
      </c>
      <c r="D34" s="150">
        <v>603.12</v>
      </c>
      <c r="K34" s="151">
        <v>43069</v>
      </c>
      <c r="M34" s="155">
        <v>43102</v>
      </c>
      <c r="N34" s="156">
        <f>+M34</f>
        <v>43102</v>
      </c>
      <c r="O34" s="137">
        <f>+M34-K34</f>
        <v>33</v>
      </c>
      <c r="P34" s="137">
        <f>+N34-M34</f>
        <v>0</v>
      </c>
      <c r="Q34" s="137">
        <f>+N34-K34</f>
        <v>33</v>
      </c>
      <c r="R34" s="137">
        <f>+Q34-30</f>
        <v>3</v>
      </c>
      <c r="S34" s="2">
        <v>21</v>
      </c>
      <c r="T34" s="138">
        <f>+P34*D34</f>
        <v>0</v>
      </c>
      <c r="U34" s="138">
        <f>+R34*D34</f>
        <v>1809.3600000000001</v>
      </c>
      <c r="V34" s="136">
        <f>IF(P34&gt;30,200+S34,100+S34)</f>
        <v>121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</row>
    <row r="35" spans="1:141" ht="15">
      <c r="A35" s="147" t="s">
        <v>204</v>
      </c>
      <c r="B35" s="148">
        <v>43097</v>
      </c>
      <c r="C35" s="149" t="s">
        <v>467</v>
      </c>
      <c r="D35" s="150">
        <v>87.12</v>
      </c>
      <c r="K35" s="151">
        <v>43110</v>
      </c>
      <c r="M35" s="155">
        <v>43115</v>
      </c>
      <c r="N35" s="156">
        <f>+M35</f>
        <v>43115</v>
      </c>
      <c r="O35" s="137">
        <f>+M35-K35</f>
        <v>5</v>
      </c>
      <c r="P35" s="137">
        <f>+N35-M35</f>
        <v>0</v>
      </c>
      <c r="Q35" s="137">
        <f>+N35-K35</f>
        <v>5</v>
      </c>
      <c r="R35" s="137">
        <f>+Q35-30</f>
        <v>-25</v>
      </c>
      <c r="S35" s="2">
        <v>29</v>
      </c>
      <c r="T35" s="138">
        <f>+P35*D35</f>
        <v>0</v>
      </c>
      <c r="U35" s="138">
        <f>+R35*D35</f>
        <v>-2178</v>
      </c>
      <c r="V35" s="136">
        <f>IF(P35&gt;30,200+S35,100+S35)</f>
        <v>129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</row>
    <row r="36" spans="1:141" ht="15">
      <c r="A36" s="147" t="s">
        <v>203</v>
      </c>
      <c r="B36" s="148">
        <v>43096</v>
      </c>
      <c r="C36" s="149" t="s">
        <v>466</v>
      </c>
      <c r="D36" s="150">
        <v>1331</v>
      </c>
      <c r="K36" s="151">
        <v>43110</v>
      </c>
      <c r="M36" s="155">
        <v>43130</v>
      </c>
      <c r="N36" s="156">
        <f>+M36</f>
        <v>43130</v>
      </c>
      <c r="O36" s="137">
        <f>+M36-K36</f>
        <v>20</v>
      </c>
      <c r="P36" s="137">
        <f>+N36-M36</f>
        <v>0</v>
      </c>
      <c r="Q36" s="137">
        <f>+N36-K36</f>
        <v>20</v>
      </c>
      <c r="R36" s="137">
        <f>+Q36-30</f>
        <v>-10</v>
      </c>
      <c r="S36" s="2">
        <v>69</v>
      </c>
      <c r="T36" s="138">
        <f>+P36*D36</f>
        <v>0</v>
      </c>
      <c r="U36" s="138">
        <f>+R36*D36</f>
        <v>-13310</v>
      </c>
      <c r="V36" s="136">
        <f>IF(P36&gt;30,200+S36,100+S36)</f>
        <v>169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</row>
    <row r="37" spans="1:141" ht="15">
      <c r="A37" s="147" t="s">
        <v>199</v>
      </c>
      <c r="B37" s="148">
        <v>43039</v>
      </c>
      <c r="C37" s="149" t="s">
        <v>462</v>
      </c>
      <c r="D37" s="150">
        <v>590.47</v>
      </c>
      <c r="K37" s="151">
        <v>43110</v>
      </c>
      <c r="M37" s="155">
        <v>43115</v>
      </c>
      <c r="N37" s="156">
        <f>+M37</f>
        <v>43115</v>
      </c>
      <c r="O37" s="137">
        <f>+M37-K37</f>
        <v>5</v>
      </c>
      <c r="P37" s="137">
        <f>+N37-M37</f>
        <v>0</v>
      </c>
      <c r="Q37" s="137">
        <f>+N37-K37</f>
        <v>5</v>
      </c>
      <c r="R37" s="137">
        <f>+Q37-30</f>
        <v>-25</v>
      </c>
      <c r="S37" s="2">
        <v>29</v>
      </c>
      <c r="T37" s="138">
        <f>+P37*D37</f>
        <v>0</v>
      </c>
      <c r="U37" s="138">
        <f>+R37*D37</f>
        <v>-14761.75</v>
      </c>
      <c r="V37" s="136">
        <f>IF(P37&gt;30,200+S37,100+S37)</f>
        <v>129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</row>
    <row r="38" spans="1:141" ht="15">
      <c r="A38" s="147" t="s">
        <v>197</v>
      </c>
      <c r="B38" s="148">
        <v>43099</v>
      </c>
      <c r="C38" s="149" t="s">
        <v>460</v>
      </c>
      <c r="D38" s="150">
        <v>871.21</v>
      </c>
      <c r="K38" s="151">
        <v>43110</v>
      </c>
      <c r="M38" s="155">
        <v>43117</v>
      </c>
      <c r="N38" s="156">
        <f>+M38</f>
        <v>43117</v>
      </c>
      <c r="O38" s="137">
        <f>+M38-K38</f>
        <v>7</v>
      </c>
      <c r="P38" s="137">
        <f>+N38-M38</f>
        <v>0</v>
      </c>
      <c r="Q38" s="137">
        <f>+N38-K38</f>
        <v>7</v>
      </c>
      <c r="R38" s="137">
        <f>+Q38-30</f>
        <v>-23</v>
      </c>
      <c r="S38" s="2">
        <v>29</v>
      </c>
      <c r="T38" s="138">
        <f>+P38*D38</f>
        <v>0</v>
      </c>
      <c r="U38" s="138">
        <f>+R38*D38</f>
        <v>-20037.83</v>
      </c>
      <c r="V38" s="136">
        <f>IF(P38&gt;30,200+S38,100+S38)</f>
        <v>129</v>
      </c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</row>
    <row r="39" spans="1:141" ht="15">
      <c r="A39" s="147" t="s">
        <v>196</v>
      </c>
      <c r="B39" s="148">
        <v>43097</v>
      </c>
      <c r="C39" s="149" t="s">
        <v>459</v>
      </c>
      <c r="D39" s="150">
        <v>653.39</v>
      </c>
      <c r="K39" s="151">
        <v>43110</v>
      </c>
      <c r="M39" s="155">
        <v>43116</v>
      </c>
      <c r="N39" s="156">
        <f>+M39</f>
        <v>43116</v>
      </c>
      <c r="O39" s="137">
        <f>+M39-K39</f>
        <v>6</v>
      </c>
      <c r="P39" s="137">
        <f>+N39-M39</f>
        <v>0</v>
      </c>
      <c r="Q39" s="137">
        <f>+N39-K39</f>
        <v>6</v>
      </c>
      <c r="R39" s="137">
        <f>+Q39-30</f>
        <v>-24</v>
      </c>
      <c r="S39" s="2">
        <v>29</v>
      </c>
      <c r="T39" s="138">
        <f>+P39*D39</f>
        <v>0</v>
      </c>
      <c r="U39" s="138">
        <f>+R39*D39</f>
        <v>-15681.36</v>
      </c>
      <c r="V39" s="136">
        <f>IF(P39&gt;30,200+S39,100+S39)</f>
        <v>129</v>
      </c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</row>
    <row r="40" spans="1:141" ht="15">
      <c r="A40" s="147" t="s">
        <v>195</v>
      </c>
      <c r="B40" s="148">
        <v>43099</v>
      </c>
      <c r="C40" s="149" t="s">
        <v>458</v>
      </c>
      <c r="D40" s="150">
        <v>435.6</v>
      </c>
      <c r="K40" s="151">
        <v>43110</v>
      </c>
      <c r="M40" s="155">
        <v>43117</v>
      </c>
      <c r="N40" s="156">
        <f>+M40</f>
        <v>43117</v>
      </c>
      <c r="O40" s="137">
        <f>+M40-K40</f>
        <v>7</v>
      </c>
      <c r="P40" s="137">
        <f>+N40-M40</f>
        <v>0</v>
      </c>
      <c r="Q40" s="137">
        <f>+N40-K40</f>
        <v>7</v>
      </c>
      <c r="R40" s="137">
        <f>+Q40-30</f>
        <v>-23</v>
      </c>
      <c r="S40" s="2">
        <v>29</v>
      </c>
      <c r="T40" s="138">
        <f>+P40*D40</f>
        <v>0</v>
      </c>
      <c r="U40" s="138">
        <f>+R40*D40</f>
        <v>-10018.800000000001</v>
      </c>
      <c r="V40" s="136">
        <f>IF(P40&gt;30,200+S40,100+S40)</f>
        <v>129</v>
      </c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</row>
    <row r="41" spans="1:141" ht="15">
      <c r="A41" s="147" t="s">
        <v>194</v>
      </c>
      <c r="B41" s="148">
        <v>43099</v>
      </c>
      <c r="C41" s="149" t="s">
        <v>457</v>
      </c>
      <c r="D41" s="150">
        <v>435.6</v>
      </c>
      <c r="K41" s="151">
        <v>43110</v>
      </c>
      <c r="M41" s="155">
        <v>43117</v>
      </c>
      <c r="N41" s="156">
        <f>+M41</f>
        <v>43117</v>
      </c>
      <c r="O41" s="137">
        <f>+M41-K41</f>
        <v>7</v>
      </c>
      <c r="P41" s="137">
        <f>+N41-M41</f>
        <v>0</v>
      </c>
      <c r="Q41" s="137">
        <f>+N41-K41</f>
        <v>7</v>
      </c>
      <c r="R41" s="137">
        <f>+Q41-30</f>
        <v>-23</v>
      </c>
      <c r="S41" s="2">
        <v>29</v>
      </c>
      <c r="T41" s="138">
        <f>+P41*D41</f>
        <v>0</v>
      </c>
      <c r="U41" s="138">
        <f>+R41*D41</f>
        <v>-10018.800000000001</v>
      </c>
      <c r="V41" s="136">
        <f>IF(P41&gt;30,200+S41,100+S41)</f>
        <v>129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</row>
    <row r="42" spans="1:141" ht="15">
      <c r="A42" s="147" t="s">
        <v>193</v>
      </c>
      <c r="B42" s="148">
        <v>43099</v>
      </c>
      <c r="C42" s="149" t="s">
        <v>456</v>
      </c>
      <c r="D42" s="150">
        <v>166.29</v>
      </c>
      <c r="K42" s="151">
        <v>43110</v>
      </c>
      <c r="M42" s="155">
        <v>43125</v>
      </c>
      <c r="N42" s="156">
        <f>+M42</f>
        <v>43125</v>
      </c>
      <c r="O42" s="137">
        <f>+M42-K42</f>
        <v>15</v>
      </c>
      <c r="P42" s="137">
        <f>+N42-M42</f>
        <v>0</v>
      </c>
      <c r="Q42" s="137">
        <f>+N42-K42</f>
        <v>15</v>
      </c>
      <c r="R42" s="137">
        <f>+Q42-30</f>
        <v>-15</v>
      </c>
      <c r="S42" s="2">
        <v>22</v>
      </c>
      <c r="T42" s="138">
        <f>+P42*D42</f>
        <v>0</v>
      </c>
      <c r="U42" s="138">
        <f>+R42*D42</f>
        <v>-2494.35</v>
      </c>
      <c r="V42" s="136">
        <f>IF(P42&gt;30,200+S42,100+S42)</f>
        <v>122</v>
      </c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</row>
    <row r="43" spans="1:141" ht="15">
      <c r="A43" s="147" t="s">
        <v>191</v>
      </c>
      <c r="B43" s="148">
        <v>43048</v>
      </c>
      <c r="C43" s="149" t="s">
        <v>454</v>
      </c>
      <c r="D43" s="150">
        <v>260</v>
      </c>
      <c r="K43" s="151">
        <v>43110</v>
      </c>
      <c r="M43" s="155">
        <v>43115</v>
      </c>
      <c r="N43" s="156">
        <f>+M43</f>
        <v>43115</v>
      </c>
      <c r="O43" s="137">
        <f>+M43-K43</f>
        <v>5</v>
      </c>
      <c r="P43" s="137">
        <f>+N43-M43</f>
        <v>0</v>
      </c>
      <c r="Q43" s="137">
        <f>+N43-K43</f>
        <v>5</v>
      </c>
      <c r="R43" s="137">
        <f>+Q43-30</f>
        <v>-25</v>
      </c>
      <c r="S43" s="2">
        <v>29</v>
      </c>
      <c r="T43" s="138">
        <f>+P43*D43</f>
        <v>0</v>
      </c>
      <c r="U43" s="138">
        <f>+R43*D43</f>
        <v>-6500</v>
      </c>
      <c r="V43" s="136">
        <f>IF(P43&gt;30,200+S43,100+S43)</f>
        <v>129</v>
      </c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</row>
    <row r="44" spans="1:141" ht="15">
      <c r="A44" s="147" t="s">
        <v>190</v>
      </c>
      <c r="B44" s="148">
        <v>43095</v>
      </c>
      <c r="C44" s="149" t="s">
        <v>453</v>
      </c>
      <c r="D44" s="150">
        <v>7.26</v>
      </c>
      <c r="K44" s="151">
        <v>43110</v>
      </c>
      <c r="M44" s="155">
        <v>43115</v>
      </c>
      <c r="N44" s="156">
        <f>+M44</f>
        <v>43115</v>
      </c>
      <c r="O44" s="137">
        <f>+M44-K44</f>
        <v>5</v>
      </c>
      <c r="P44" s="137">
        <f>+N44-M44</f>
        <v>0</v>
      </c>
      <c r="Q44" s="137">
        <f>+N44-K44</f>
        <v>5</v>
      </c>
      <c r="R44" s="137">
        <f>+Q44-30</f>
        <v>-25</v>
      </c>
      <c r="S44" s="2">
        <v>22</v>
      </c>
      <c r="T44" s="138">
        <f>+P44*D44</f>
        <v>0</v>
      </c>
      <c r="U44" s="138">
        <f>+R44*D44</f>
        <v>-181.5</v>
      </c>
      <c r="V44" s="136">
        <f>IF(P44&gt;30,200+S44,100+S44)</f>
        <v>122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</row>
    <row r="45" spans="1:141" ht="15">
      <c r="A45" s="147" t="s">
        <v>189</v>
      </c>
      <c r="B45" s="148">
        <v>43100</v>
      </c>
      <c r="C45" s="149" t="s">
        <v>452</v>
      </c>
      <c r="D45" s="150">
        <v>1668.35</v>
      </c>
      <c r="K45" s="151">
        <v>43100</v>
      </c>
      <c r="M45" s="155">
        <v>43102</v>
      </c>
      <c r="N45" s="155">
        <f>+M45</f>
        <v>43102</v>
      </c>
      <c r="O45" s="137">
        <f>+M45-K45</f>
        <v>2</v>
      </c>
      <c r="P45" s="137">
        <f>+N45-M45</f>
        <v>0</v>
      </c>
      <c r="Q45" s="137">
        <f>+N45-K45</f>
        <v>2</v>
      </c>
      <c r="R45" s="137">
        <f>+Q45-30</f>
        <v>-28</v>
      </c>
      <c r="S45" s="2">
        <v>29</v>
      </c>
      <c r="T45" s="138">
        <f>+P45*D45</f>
        <v>0</v>
      </c>
      <c r="U45" s="138">
        <f>+R45*D45</f>
        <v>-46713.799999999996</v>
      </c>
      <c r="V45" s="136">
        <f>IF(P45&gt;30,200+S45,100+S45)</f>
        <v>129</v>
      </c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</row>
    <row r="46" spans="1:141" ht="15">
      <c r="A46" s="147" t="s">
        <v>188</v>
      </c>
      <c r="B46" s="148">
        <v>43098</v>
      </c>
      <c r="C46" s="149" t="s">
        <v>451</v>
      </c>
      <c r="D46" s="150">
        <v>655.42</v>
      </c>
      <c r="K46" s="151">
        <v>43111</v>
      </c>
      <c r="M46" s="155">
        <v>43115</v>
      </c>
      <c r="N46" s="155">
        <f>+M46</f>
        <v>43115</v>
      </c>
      <c r="O46" s="137">
        <f>+M46-K46</f>
        <v>4</v>
      </c>
      <c r="P46" s="137">
        <f>+N46-M46</f>
        <v>0</v>
      </c>
      <c r="Q46" s="137">
        <f>+N46-K46</f>
        <v>4</v>
      </c>
      <c r="R46" s="137">
        <f>+Q46-30</f>
        <v>-26</v>
      </c>
      <c r="S46" s="2">
        <v>29</v>
      </c>
      <c r="T46" s="138">
        <f>+P46*D46</f>
        <v>0</v>
      </c>
      <c r="U46" s="138">
        <f>+R46*D46</f>
        <v>-17040.92</v>
      </c>
      <c r="V46" s="136">
        <f>IF(P46&gt;30,200+S46,100+S46)</f>
        <v>129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</row>
    <row r="47" spans="1:141" ht="15">
      <c r="A47" s="147" t="s">
        <v>186</v>
      </c>
      <c r="B47" s="148">
        <v>43088</v>
      </c>
      <c r="C47" s="149" t="s">
        <v>449</v>
      </c>
      <c r="D47" s="150">
        <v>151.25</v>
      </c>
      <c r="K47" s="151">
        <v>43111</v>
      </c>
      <c r="M47" s="155">
        <v>43115</v>
      </c>
      <c r="N47" s="155">
        <f>+M47</f>
        <v>43115</v>
      </c>
      <c r="O47" s="137">
        <f>+M47-K47</f>
        <v>4</v>
      </c>
      <c r="P47" s="137">
        <f>+N47-M47</f>
        <v>0</v>
      </c>
      <c r="Q47" s="137">
        <f>+N47-K47</f>
        <v>4</v>
      </c>
      <c r="R47" s="137">
        <f>+Q47-30</f>
        <v>-26</v>
      </c>
      <c r="S47" s="2">
        <v>21</v>
      </c>
      <c r="T47" s="138">
        <f>+P47*D47</f>
        <v>0</v>
      </c>
      <c r="U47" s="138">
        <f>+R47*D47</f>
        <v>-3932.5</v>
      </c>
      <c r="V47" s="136">
        <f>IF(P47&gt;30,200+S47,100+S47)</f>
        <v>121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</row>
    <row r="48" spans="1:141" ht="15">
      <c r="A48" s="147" t="s">
        <v>185</v>
      </c>
      <c r="B48" s="148">
        <v>43067</v>
      </c>
      <c r="C48" s="149" t="s">
        <v>448</v>
      </c>
      <c r="D48" s="150">
        <v>58.18</v>
      </c>
      <c r="K48" s="151">
        <v>43067</v>
      </c>
      <c r="M48" s="155">
        <v>43102</v>
      </c>
      <c r="N48" s="155">
        <f>+M48</f>
        <v>43102</v>
      </c>
      <c r="O48" s="137">
        <f>+M48-K48</f>
        <v>35</v>
      </c>
      <c r="P48" s="137">
        <f>+N48-M48</f>
        <v>0</v>
      </c>
      <c r="Q48" s="137">
        <f>+N48-K48</f>
        <v>35</v>
      </c>
      <c r="R48" s="137">
        <f>+Q48-30</f>
        <v>5</v>
      </c>
      <c r="S48" s="2">
        <v>21</v>
      </c>
      <c r="T48" s="138">
        <f>+P48*D48</f>
        <v>0</v>
      </c>
      <c r="U48" s="138">
        <f>+R48*D48</f>
        <v>290.9</v>
      </c>
      <c r="V48" s="136">
        <f>IF(P48&gt;30,200+S48,100+S48)</f>
        <v>121</v>
      </c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</row>
    <row r="49" spans="1:141" ht="15">
      <c r="A49" s="147" t="s">
        <v>184</v>
      </c>
      <c r="B49" s="148">
        <v>43100</v>
      </c>
      <c r="C49" s="149" t="s">
        <v>447</v>
      </c>
      <c r="D49" s="150">
        <v>1108.17</v>
      </c>
      <c r="K49" s="151">
        <v>43100</v>
      </c>
      <c r="M49" s="155">
        <v>43102</v>
      </c>
      <c r="N49" s="155">
        <f>+M49</f>
        <v>43102</v>
      </c>
      <c r="O49" s="137">
        <f>+M49-K49</f>
        <v>2</v>
      </c>
      <c r="P49" s="137">
        <f>+N49-M49</f>
        <v>0</v>
      </c>
      <c r="Q49" s="137">
        <f>+N49-K49</f>
        <v>2</v>
      </c>
      <c r="R49" s="137">
        <f>+Q49-30</f>
        <v>-28</v>
      </c>
      <c r="S49" s="2">
        <v>29</v>
      </c>
      <c r="T49" s="138">
        <f>+P49*D49</f>
        <v>0</v>
      </c>
      <c r="U49" s="138">
        <f>+R49*D49</f>
        <v>-31028.760000000002</v>
      </c>
      <c r="V49" s="136">
        <f>IF(P49&gt;30,200+S49,100+S49)</f>
        <v>129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</row>
    <row r="50" spans="1:141" ht="15">
      <c r="A50" s="147" t="s">
        <v>183</v>
      </c>
      <c r="B50" s="148">
        <v>43100</v>
      </c>
      <c r="C50" s="149" t="s">
        <v>446</v>
      </c>
      <c r="D50" s="150">
        <v>190.2</v>
      </c>
      <c r="K50" s="151">
        <v>43111</v>
      </c>
      <c r="M50" s="155">
        <v>43115</v>
      </c>
      <c r="N50" s="155">
        <f>+M50</f>
        <v>43115</v>
      </c>
      <c r="O50" s="137">
        <f>+M50-K50</f>
        <v>4</v>
      </c>
      <c r="P50" s="137">
        <f>+N50-M50</f>
        <v>0</v>
      </c>
      <c r="Q50" s="137">
        <f>+N50-K50</f>
        <v>4</v>
      </c>
      <c r="R50" s="137">
        <f>+Q50-30</f>
        <v>-26</v>
      </c>
      <c r="S50" s="2">
        <v>29</v>
      </c>
      <c r="T50" s="138">
        <f>+P50*D50</f>
        <v>0</v>
      </c>
      <c r="U50" s="138">
        <f>+R50*D50</f>
        <v>-4945.2</v>
      </c>
      <c r="V50" s="136">
        <f>IF(P50&gt;30,200+S50,100+S50)</f>
        <v>129</v>
      </c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</row>
    <row r="51" spans="1:141" ht="15">
      <c r="A51" s="147" t="s">
        <v>182</v>
      </c>
      <c r="B51" s="148">
        <v>43089</v>
      </c>
      <c r="C51" s="149" t="s">
        <v>444</v>
      </c>
      <c r="D51" s="150">
        <v>8999.98</v>
      </c>
      <c r="K51" s="151">
        <v>43112</v>
      </c>
      <c r="M51" s="155">
        <v>43115</v>
      </c>
      <c r="N51" s="155">
        <f>+M51</f>
        <v>43115</v>
      </c>
      <c r="O51" s="137">
        <f>+M51-K51</f>
        <v>3</v>
      </c>
      <c r="P51" s="137">
        <f>+N51-M51</f>
        <v>0</v>
      </c>
      <c r="Q51" s="137">
        <f>+N51-K51</f>
        <v>3</v>
      </c>
      <c r="R51" s="137">
        <f>+Q51-30</f>
        <v>-27</v>
      </c>
      <c r="S51" s="2">
        <v>29</v>
      </c>
      <c r="T51" s="138">
        <f>+P51*D51</f>
        <v>0</v>
      </c>
      <c r="U51" s="138">
        <f>+R51*D51</f>
        <v>-242999.46</v>
      </c>
      <c r="V51" s="136">
        <f>IF(P51&gt;30,200+S51,100+S51)</f>
        <v>129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</row>
    <row r="52" spans="1:141" ht="15">
      <c r="A52" s="147" t="s">
        <v>180</v>
      </c>
      <c r="B52" s="148">
        <v>43095</v>
      </c>
      <c r="C52" s="149" t="s">
        <v>442</v>
      </c>
      <c r="D52" s="150">
        <v>68.19</v>
      </c>
      <c r="K52" s="151">
        <v>43112</v>
      </c>
      <c r="M52" s="155">
        <v>43115</v>
      </c>
      <c r="N52" s="155">
        <f>+M52</f>
        <v>43115</v>
      </c>
      <c r="O52" s="137">
        <f>+M52-K52</f>
        <v>3</v>
      </c>
      <c r="P52" s="137">
        <f>+N52-M52</f>
        <v>0</v>
      </c>
      <c r="Q52" s="137">
        <f>+N52-K52</f>
        <v>3</v>
      </c>
      <c r="R52" s="137">
        <f>+Q52-30</f>
        <v>-27</v>
      </c>
      <c r="S52" s="2">
        <v>29</v>
      </c>
      <c r="T52" s="138">
        <f>+P52*D52</f>
        <v>0</v>
      </c>
      <c r="U52" s="138">
        <f>+R52*D52</f>
        <v>-1841.1299999999999</v>
      </c>
      <c r="V52" s="136">
        <f>IF(P52&gt;30,200+S52,100+S52)</f>
        <v>129</v>
      </c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</row>
    <row r="53" spans="1:141" ht="15">
      <c r="A53" s="147" t="s">
        <v>179</v>
      </c>
      <c r="B53" s="148">
        <v>43100</v>
      </c>
      <c r="C53" s="149" t="s">
        <v>445</v>
      </c>
      <c r="D53" s="150">
        <v>8.4</v>
      </c>
      <c r="K53" s="151">
        <v>43112</v>
      </c>
      <c r="M53" s="155">
        <v>43115</v>
      </c>
      <c r="N53" s="155">
        <f>+M53</f>
        <v>43115</v>
      </c>
      <c r="O53" s="137">
        <f>+M53-K53</f>
        <v>3</v>
      </c>
      <c r="P53" s="137">
        <f>+N53-M53</f>
        <v>0</v>
      </c>
      <c r="Q53" s="137">
        <f>+N53-K53</f>
        <v>3</v>
      </c>
      <c r="R53" s="137">
        <f>+Q53-30</f>
        <v>-27</v>
      </c>
      <c r="S53" s="2">
        <v>22</v>
      </c>
      <c r="T53" s="138">
        <f>+P53*D53</f>
        <v>0</v>
      </c>
      <c r="U53" s="138">
        <f>+R53*D53</f>
        <v>-226.8</v>
      </c>
      <c r="V53" s="136">
        <f>IF(P53&gt;30,200+S53,100+S53)</f>
        <v>122</v>
      </c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</row>
    <row r="54" spans="1:141" ht="15">
      <c r="A54" s="147" t="s">
        <v>634</v>
      </c>
      <c r="B54" s="148">
        <v>43100</v>
      </c>
      <c r="C54" s="149" t="s">
        <v>658</v>
      </c>
      <c r="D54" s="150">
        <v>7.77</v>
      </c>
      <c r="K54" s="151">
        <v>43115</v>
      </c>
      <c r="M54" s="155">
        <v>43131</v>
      </c>
      <c r="N54" s="155">
        <f>+M54</f>
        <v>43131</v>
      </c>
      <c r="O54" s="137">
        <f>+M54-K54</f>
        <v>16</v>
      </c>
      <c r="P54" s="137">
        <f>+N54-M54</f>
        <v>0</v>
      </c>
      <c r="Q54" s="137">
        <f>+N54-K54</f>
        <v>16</v>
      </c>
      <c r="R54" s="137">
        <f>+Q54-30</f>
        <v>-14</v>
      </c>
      <c r="S54" s="2">
        <v>29</v>
      </c>
      <c r="T54" s="138">
        <f>+P54*D54</f>
        <v>0</v>
      </c>
      <c r="U54" s="138">
        <f>+R54*D54</f>
        <v>-108.78</v>
      </c>
      <c r="V54" s="136">
        <f>IF(P54&gt;30,200+S54,100+S54)</f>
        <v>129</v>
      </c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</row>
    <row r="55" spans="1:141" ht="15">
      <c r="A55" s="147" t="s">
        <v>176</v>
      </c>
      <c r="B55" s="148">
        <v>43074</v>
      </c>
      <c r="C55" s="149" t="s">
        <v>439</v>
      </c>
      <c r="D55" s="150">
        <v>21.66</v>
      </c>
      <c r="K55" s="151">
        <v>43074</v>
      </c>
      <c r="M55" s="155">
        <v>43115</v>
      </c>
      <c r="N55" s="155">
        <f>+M55</f>
        <v>43115</v>
      </c>
      <c r="O55" s="137">
        <f>+M55-K55</f>
        <v>41</v>
      </c>
      <c r="P55" s="137">
        <f>+N55-M55</f>
        <v>0</v>
      </c>
      <c r="Q55" s="137">
        <f>+N55-K55</f>
        <v>41</v>
      </c>
      <c r="R55" s="137">
        <f>+Q55-30</f>
        <v>11</v>
      </c>
      <c r="S55" s="2">
        <v>29</v>
      </c>
      <c r="T55" s="138">
        <f>+P55*D55</f>
        <v>0</v>
      </c>
      <c r="U55" s="138">
        <f>+R55*D55</f>
        <v>238.26</v>
      </c>
      <c r="V55" s="136">
        <f>IF(P55&gt;30,200+S55,100+S55)</f>
        <v>129</v>
      </c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</row>
    <row r="56" spans="1:141" ht="15">
      <c r="A56" s="147" t="s">
        <v>166</v>
      </c>
      <c r="B56" s="148">
        <v>43097</v>
      </c>
      <c r="C56" s="149" t="s">
        <v>429</v>
      </c>
      <c r="D56" s="150">
        <v>104.04</v>
      </c>
      <c r="K56" s="151">
        <v>43116</v>
      </c>
      <c r="M56" s="155">
        <v>43130</v>
      </c>
      <c r="N56" s="155">
        <f>+M56</f>
        <v>43130</v>
      </c>
      <c r="O56" s="137">
        <f>+M56-K56</f>
        <v>14</v>
      </c>
      <c r="P56" s="137">
        <f>+N56-M56</f>
        <v>0</v>
      </c>
      <c r="Q56" s="137">
        <f>+N56-K56</f>
        <v>14</v>
      </c>
      <c r="R56" s="137">
        <f>+Q56-30</f>
        <v>-16</v>
      </c>
      <c r="S56" s="2">
        <v>21</v>
      </c>
      <c r="T56" s="138">
        <f>+P56*D56</f>
        <v>0</v>
      </c>
      <c r="U56" s="138">
        <f>+R56*D56</f>
        <v>-1664.64</v>
      </c>
      <c r="V56" s="136">
        <f>IF(P56&gt;30,200+S56,100+S56)</f>
        <v>121</v>
      </c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</row>
    <row r="57" spans="1:141" ht="15">
      <c r="A57" s="147" t="s">
        <v>165</v>
      </c>
      <c r="B57" s="148">
        <v>43100</v>
      </c>
      <c r="C57" s="149" t="s">
        <v>428</v>
      </c>
      <c r="D57" s="150">
        <v>515.34</v>
      </c>
      <c r="K57" s="151">
        <v>43116</v>
      </c>
      <c r="M57" s="155">
        <v>43131</v>
      </c>
      <c r="N57" s="155">
        <f>+M57</f>
        <v>43131</v>
      </c>
      <c r="O57" s="137">
        <f>+M57-K57</f>
        <v>15</v>
      </c>
      <c r="P57" s="137">
        <f>+N57-M57</f>
        <v>0</v>
      </c>
      <c r="Q57" s="137">
        <f>+N57-K57</f>
        <v>15</v>
      </c>
      <c r="R57" s="137">
        <f>+Q57-30</f>
        <v>-15</v>
      </c>
      <c r="S57" s="2">
        <v>21</v>
      </c>
      <c r="T57" s="138">
        <f>+P57*D57</f>
        <v>0</v>
      </c>
      <c r="U57" s="138">
        <f>+R57*D57</f>
        <v>-7730.1</v>
      </c>
      <c r="V57" s="136">
        <f>IF(P57&gt;30,200+S57,100+S57)</f>
        <v>121</v>
      </c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</row>
    <row r="58" spans="1:141" ht="15">
      <c r="A58" s="147" t="s">
        <v>164</v>
      </c>
      <c r="B58" s="148">
        <v>43097</v>
      </c>
      <c r="C58" s="149" t="s">
        <v>427</v>
      </c>
      <c r="D58" s="150">
        <v>367.2</v>
      </c>
      <c r="K58" s="151">
        <v>43097</v>
      </c>
      <c r="M58" s="155">
        <v>43116</v>
      </c>
      <c r="N58" s="155">
        <f>+M58</f>
        <v>43116</v>
      </c>
      <c r="O58" s="137">
        <f>+M58-K58</f>
        <v>19</v>
      </c>
      <c r="P58" s="137">
        <f>+N58-M58</f>
        <v>0</v>
      </c>
      <c r="Q58" s="137">
        <f>+N58-K58</f>
        <v>19</v>
      </c>
      <c r="R58" s="137">
        <f>+Q58-30</f>
        <v>-11</v>
      </c>
      <c r="S58" s="2">
        <v>29</v>
      </c>
      <c r="T58" s="138">
        <f>+P58*D58</f>
        <v>0</v>
      </c>
      <c r="U58" s="138">
        <f>+R58*D58</f>
        <v>-4039.2</v>
      </c>
      <c r="V58" s="136">
        <f>IF(P58&gt;30,200+S58,100+S58)</f>
        <v>129</v>
      </c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</row>
    <row r="59" spans="1:141" ht="15">
      <c r="A59" s="147" t="s">
        <v>163</v>
      </c>
      <c r="B59" s="148">
        <v>43097</v>
      </c>
      <c r="C59" s="149" t="s">
        <v>426</v>
      </c>
      <c r="D59" s="150">
        <v>432.15</v>
      </c>
      <c r="K59" s="151">
        <v>43097</v>
      </c>
      <c r="M59" s="155">
        <v>43116</v>
      </c>
      <c r="N59" s="155">
        <f>+M59</f>
        <v>43116</v>
      </c>
      <c r="O59" s="137">
        <f>+M59-K59</f>
        <v>19</v>
      </c>
      <c r="P59" s="137">
        <f>+N59-M59</f>
        <v>0</v>
      </c>
      <c r="Q59" s="137">
        <f>+N59-K59</f>
        <v>19</v>
      </c>
      <c r="R59" s="137">
        <f>+Q59-30</f>
        <v>-11</v>
      </c>
      <c r="S59" s="2">
        <v>29</v>
      </c>
      <c r="T59" s="138">
        <f>+P59*D59</f>
        <v>0</v>
      </c>
      <c r="U59" s="138">
        <f>+R59*D59</f>
        <v>-4753.65</v>
      </c>
      <c r="V59" s="136">
        <f>IF(P59&gt;30,200+S59,100+S59)</f>
        <v>129</v>
      </c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</row>
    <row r="60" spans="1:141" ht="15">
      <c r="A60" s="147" t="s">
        <v>161</v>
      </c>
      <c r="B60" s="148">
        <v>43100</v>
      </c>
      <c r="C60" s="149" t="s">
        <v>424</v>
      </c>
      <c r="D60" s="150">
        <v>774.4</v>
      </c>
      <c r="K60" s="151">
        <v>43117</v>
      </c>
      <c r="M60" s="155">
        <v>43130</v>
      </c>
      <c r="N60" s="155">
        <f>+M60</f>
        <v>43130</v>
      </c>
      <c r="O60" s="137">
        <f>+M60-K60</f>
        <v>13</v>
      </c>
      <c r="P60" s="137">
        <f>+N60-M60</f>
        <v>0</v>
      </c>
      <c r="Q60" s="137">
        <f>+N60-K60</f>
        <v>13</v>
      </c>
      <c r="R60" s="137">
        <f>+Q60-30</f>
        <v>-17</v>
      </c>
      <c r="S60" s="2">
        <v>29</v>
      </c>
      <c r="T60" s="138">
        <f>+P60*D60</f>
        <v>0</v>
      </c>
      <c r="U60" s="138">
        <f>+R60*D60</f>
        <v>-13164.8</v>
      </c>
      <c r="V60" s="136">
        <f>IF(P60&gt;30,200+S60,100+S60)</f>
        <v>129</v>
      </c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</row>
    <row r="61" spans="1:141" ht="15">
      <c r="A61" s="147" t="s">
        <v>160</v>
      </c>
      <c r="B61" s="148">
        <v>43075</v>
      </c>
      <c r="C61" s="149" t="s">
        <v>423</v>
      </c>
      <c r="D61" s="150">
        <v>40.5</v>
      </c>
      <c r="K61" s="151">
        <v>43118</v>
      </c>
      <c r="M61" s="155">
        <v>43131</v>
      </c>
      <c r="N61" s="155">
        <f>+M61</f>
        <v>43131</v>
      </c>
      <c r="O61" s="137">
        <f>+M61-K61</f>
        <v>13</v>
      </c>
      <c r="P61" s="137">
        <f>+N61-M61</f>
        <v>0</v>
      </c>
      <c r="Q61" s="137">
        <f>+N61-K61</f>
        <v>13</v>
      </c>
      <c r="R61" s="137">
        <f>+Q61-30</f>
        <v>-17</v>
      </c>
      <c r="S61" s="2">
        <v>29</v>
      </c>
      <c r="T61" s="138">
        <f>+P61*D61</f>
        <v>0</v>
      </c>
      <c r="U61" s="138">
        <f>+R61*D61</f>
        <v>-688.5</v>
      </c>
      <c r="V61" s="136">
        <f>IF(P61&gt;30,200+S61,100+S61)</f>
        <v>129</v>
      </c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</row>
    <row r="62" spans="1:141" ht="15">
      <c r="A62" s="147" t="s">
        <v>159</v>
      </c>
      <c r="B62" s="148">
        <v>43075</v>
      </c>
      <c r="C62" s="149" t="s">
        <v>422</v>
      </c>
      <c r="D62" s="150">
        <v>39.4</v>
      </c>
      <c r="K62" s="151">
        <v>43118</v>
      </c>
      <c r="M62" s="155">
        <v>43131</v>
      </c>
      <c r="N62" s="155">
        <f>+M62</f>
        <v>43131</v>
      </c>
      <c r="O62" s="137">
        <f>+M62-K62</f>
        <v>13</v>
      </c>
      <c r="P62" s="137">
        <f>+N62-M62</f>
        <v>0</v>
      </c>
      <c r="Q62" s="137">
        <f>+N62-K62</f>
        <v>13</v>
      </c>
      <c r="R62" s="137">
        <f>+Q62-30</f>
        <v>-17</v>
      </c>
      <c r="S62" s="2">
        <v>29</v>
      </c>
      <c r="T62" s="138">
        <f>+P62*D62</f>
        <v>0</v>
      </c>
      <c r="U62" s="138">
        <f>+R62*D62</f>
        <v>-669.8</v>
      </c>
      <c r="V62" s="136">
        <f>IF(P62&gt;30,200+S62,100+S62)</f>
        <v>129</v>
      </c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</row>
    <row r="63" spans="1:141" ht="15">
      <c r="A63" s="147" t="s">
        <v>158</v>
      </c>
      <c r="B63" s="148">
        <v>43100</v>
      </c>
      <c r="C63" s="149" t="s">
        <v>421</v>
      </c>
      <c r="D63" s="150">
        <v>32.7</v>
      </c>
      <c r="K63" s="151">
        <v>43118</v>
      </c>
      <c r="M63" s="155">
        <v>43131</v>
      </c>
      <c r="N63" s="155">
        <f>+M63</f>
        <v>43131</v>
      </c>
      <c r="O63" s="137">
        <f>+M63-K63</f>
        <v>13</v>
      </c>
      <c r="P63" s="137">
        <f>+N63-M63</f>
        <v>0</v>
      </c>
      <c r="Q63" s="137">
        <f>+N63-K63</f>
        <v>13</v>
      </c>
      <c r="R63" s="137">
        <f>+Q63-30</f>
        <v>-17</v>
      </c>
      <c r="S63" s="2">
        <v>29</v>
      </c>
      <c r="T63" s="138">
        <f>+P63*D63</f>
        <v>0</v>
      </c>
      <c r="U63" s="138">
        <f>+R63*D63</f>
        <v>-555.9000000000001</v>
      </c>
      <c r="V63" s="136">
        <f>IF(P63&gt;30,200+S63,100+S63)</f>
        <v>129</v>
      </c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</row>
    <row r="64" spans="1:141" ht="15">
      <c r="A64" s="147" t="s">
        <v>157</v>
      </c>
      <c r="B64" s="148">
        <v>43098</v>
      </c>
      <c r="C64" s="149" t="s">
        <v>420</v>
      </c>
      <c r="D64" s="150">
        <v>2622</v>
      </c>
      <c r="K64" s="151">
        <v>43118</v>
      </c>
      <c r="M64" s="155">
        <v>43131</v>
      </c>
      <c r="N64" s="155">
        <f>+M64</f>
        <v>43131</v>
      </c>
      <c r="O64" s="137">
        <f>+M64-K64</f>
        <v>13</v>
      </c>
      <c r="P64" s="137">
        <f>+N64-M64</f>
        <v>0</v>
      </c>
      <c r="Q64" s="137">
        <f>+N64-K64</f>
        <v>13</v>
      </c>
      <c r="R64" s="137">
        <f>+Q64-30</f>
        <v>-17</v>
      </c>
      <c r="S64" s="2">
        <v>29</v>
      </c>
      <c r="T64" s="138">
        <f>+P64*D64</f>
        <v>0</v>
      </c>
      <c r="U64" s="138">
        <f>+R64*D64</f>
        <v>-44574</v>
      </c>
      <c r="V64" s="136">
        <f>IF(P64&gt;30,200+S64,100+S64)</f>
        <v>129</v>
      </c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</row>
    <row r="65" spans="1:141" ht="15">
      <c r="A65" s="147" t="s">
        <v>156</v>
      </c>
      <c r="B65" s="148">
        <v>43089</v>
      </c>
      <c r="C65" s="149" t="s">
        <v>419</v>
      </c>
      <c r="D65" s="150">
        <v>145.2</v>
      </c>
      <c r="K65" s="151">
        <v>43119</v>
      </c>
      <c r="M65" s="155">
        <v>43131</v>
      </c>
      <c r="N65" s="155">
        <f>+M65</f>
        <v>43131</v>
      </c>
      <c r="O65" s="137">
        <f>+M65-K65</f>
        <v>12</v>
      </c>
      <c r="P65" s="137">
        <f>+N65-M65</f>
        <v>0</v>
      </c>
      <c r="Q65" s="137">
        <f>+N65-K65</f>
        <v>12</v>
      </c>
      <c r="R65" s="137">
        <f>+Q65-30</f>
        <v>-18</v>
      </c>
      <c r="S65" s="2">
        <v>21</v>
      </c>
      <c r="T65" s="138">
        <f>+P65*D65</f>
        <v>0</v>
      </c>
      <c r="U65" s="138">
        <f>+R65*D65</f>
        <v>-2613.6</v>
      </c>
      <c r="V65" s="136">
        <f>IF(P65&gt;30,200+S65,100+S65)</f>
        <v>121</v>
      </c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</row>
    <row r="66" spans="1:141" ht="15">
      <c r="A66" s="147" t="s">
        <v>155</v>
      </c>
      <c r="B66" s="148">
        <v>43097</v>
      </c>
      <c r="C66" s="149" t="s">
        <v>418</v>
      </c>
      <c r="D66" s="150">
        <v>779.37</v>
      </c>
      <c r="K66" s="151">
        <v>43097</v>
      </c>
      <c r="M66" s="155">
        <v>43131</v>
      </c>
      <c r="N66" s="155">
        <f>+M66</f>
        <v>43131</v>
      </c>
      <c r="O66" s="137">
        <f>+M66-K66</f>
        <v>34</v>
      </c>
      <c r="P66" s="137">
        <f>+N66-M66</f>
        <v>0</v>
      </c>
      <c r="Q66" s="137">
        <f>+N66-K66</f>
        <v>34</v>
      </c>
      <c r="R66" s="137">
        <f>+Q66-30</f>
        <v>4</v>
      </c>
      <c r="S66" s="2">
        <v>29</v>
      </c>
      <c r="T66" s="138">
        <f>+P66*D66</f>
        <v>0</v>
      </c>
      <c r="U66" s="138">
        <f>+R66*D66</f>
        <v>3117.48</v>
      </c>
      <c r="V66" s="136">
        <f>IF(P66&gt;30,200+S66,100+S66)</f>
        <v>129</v>
      </c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</row>
    <row r="67" spans="1:141" ht="15">
      <c r="A67" s="147" t="s">
        <v>154</v>
      </c>
      <c r="B67" s="148">
        <v>43097</v>
      </c>
      <c r="C67" s="149" t="s">
        <v>417</v>
      </c>
      <c r="D67" s="150">
        <v>498.64</v>
      </c>
      <c r="K67" s="151">
        <v>43097</v>
      </c>
      <c r="M67" s="155">
        <v>43115</v>
      </c>
      <c r="N67" s="155">
        <f>+M67</f>
        <v>43115</v>
      </c>
      <c r="O67" s="137">
        <f>+M67-K67</f>
        <v>18</v>
      </c>
      <c r="P67" s="137">
        <f>+N67-M67</f>
        <v>0</v>
      </c>
      <c r="Q67" s="137">
        <f>+N67-K67</f>
        <v>18</v>
      </c>
      <c r="R67" s="137">
        <f>+Q67-30</f>
        <v>-12</v>
      </c>
      <c r="S67" s="2">
        <v>29</v>
      </c>
      <c r="T67" s="138">
        <f>+P67*D67</f>
        <v>0</v>
      </c>
      <c r="U67" s="138">
        <f>+R67*D67</f>
        <v>-5983.68</v>
      </c>
      <c r="V67" s="136">
        <f>IF(P67&gt;30,200+S67,100+S67)</f>
        <v>129</v>
      </c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</row>
    <row r="68" spans="1:141" ht="15">
      <c r="A68" s="147" t="s">
        <v>147</v>
      </c>
      <c r="B68" s="148">
        <v>43100</v>
      </c>
      <c r="C68" s="149" t="s">
        <v>410</v>
      </c>
      <c r="D68" s="150">
        <v>1065.86</v>
      </c>
      <c r="K68" s="151">
        <v>43119</v>
      </c>
      <c r="M68" s="155">
        <v>43131</v>
      </c>
      <c r="N68" s="155">
        <f>+M68</f>
        <v>43131</v>
      </c>
      <c r="O68" s="137">
        <f>+M68-K68</f>
        <v>12</v>
      </c>
      <c r="P68" s="137">
        <f>+N68-M68</f>
        <v>0</v>
      </c>
      <c r="Q68" s="137">
        <f>+N68-K68</f>
        <v>12</v>
      </c>
      <c r="R68" s="137">
        <f>+Q68-30</f>
        <v>-18</v>
      </c>
      <c r="S68" s="2">
        <v>29</v>
      </c>
      <c r="T68" s="138">
        <f>+P68*D68</f>
        <v>0</v>
      </c>
      <c r="U68" s="138">
        <f>+R68*D68</f>
        <v>-19185.48</v>
      </c>
      <c r="V68" s="136">
        <f>IF(P68&gt;30,200+S68,100+S68)</f>
        <v>129</v>
      </c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</row>
    <row r="69" spans="1:141" ht="15">
      <c r="A69" s="147" t="s">
        <v>146</v>
      </c>
      <c r="B69" s="148">
        <v>43091</v>
      </c>
      <c r="C69" s="149" t="s">
        <v>409</v>
      </c>
      <c r="D69" s="150">
        <v>870.23</v>
      </c>
      <c r="K69" s="151">
        <v>43119</v>
      </c>
      <c r="M69" s="155">
        <v>43130</v>
      </c>
      <c r="N69" s="155">
        <f>+M69</f>
        <v>43130</v>
      </c>
      <c r="O69" s="137">
        <f>+M69-K69</f>
        <v>11</v>
      </c>
      <c r="P69" s="137">
        <f>+N69-M69</f>
        <v>0</v>
      </c>
      <c r="Q69" s="137">
        <f>+N69-K69</f>
        <v>11</v>
      </c>
      <c r="R69" s="137">
        <f>+Q69-30</f>
        <v>-19</v>
      </c>
      <c r="S69" s="2">
        <v>21</v>
      </c>
      <c r="T69" s="138">
        <f>+P69*D69</f>
        <v>0</v>
      </c>
      <c r="U69" s="138">
        <f>+R69*D69</f>
        <v>-16534.37</v>
      </c>
      <c r="V69" s="136">
        <f>IF(P69&gt;30,200+S69,100+S69)</f>
        <v>121</v>
      </c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</row>
    <row r="70" spans="1:141" ht="15">
      <c r="A70" s="147" t="s">
        <v>145</v>
      </c>
      <c r="B70" s="148">
        <v>43084</v>
      </c>
      <c r="C70" s="149" t="s">
        <v>408</v>
      </c>
      <c r="D70" s="150">
        <v>1908.17</v>
      </c>
      <c r="K70" s="151">
        <v>43119</v>
      </c>
      <c r="M70" s="155">
        <v>43131</v>
      </c>
      <c r="N70" s="155">
        <f>+M70</f>
        <v>43131</v>
      </c>
      <c r="O70" s="137">
        <f>+M70-K70</f>
        <v>12</v>
      </c>
      <c r="P70" s="137">
        <f>+N70-M70</f>
        <v>0</v>
      </c>
      <c r="Q70" s="137">
        <f>+N70-K70</f>
        <v>12</v>
      </c>
      <c r="R70" s="137">
        <f>+Q70-30</f>
        <v>-18</v>
      </c>
      <c r="S70" s="2">
        <v>21</v>
      </c>
      <c r="T70" s="138">
        <f>+P70*D70</f>
        <v>0</v>
      </c>
      <c r="U70" s="138">
        <f>+R70*D70</f>
        <v>-34347.06</v>
      </c>
      <c r="V70" s="136">
        <f>IF(P70&gt;30,200+S70,100+S70)</f>
        <v>121</v>
      </c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</row>
    <row r="71" spans="1:141" ht="15">
      <c r="A71" s="147" t="s">
        <v>143</v>
      </c>
      <c r="B71" s="148">
        <v>43097</v>
      </c>
      <c r="C71" s="149" t="s">
        <v>406</v>
      </c>
      <c r="D71" s="150">
        <v>486.23</v>
      </c>
      <c r="K71" s="151">
        <v>43097</v>
      </c>
      <c r="M71" s="155">
        <v>43116</v>
      </c>
      <c r="N71" s="155">
        <f>+M71</f>
        <v>43116</v>
      </c>
      <c r="O71" s="137">
        <f>+M71-K71</f>
        <v>19</v>
      </c>
      <c r="P71" s="137">
        <f>+N71-M71</f>
        <v>0</v>
      </c>
      <c r="Q71" s="137">
        <f>+N71-K71</f>
        <v>19</v>
      </c>
      <c r="R71" s="137">
        <f>+Q71-30</f>
        <v>-11</v>
      </c>
      <c r="S71" s="2">
        <v>29</v>
      </c>
      <c r="T71" s="138">
        <f>+P71*D71</f>
        <v>0</v>
      </c>
      <c r="U71" s="138">
        <f>+R71*D71</f>
        <v>-5348.530000000001</v>
      </c>
      <c r="V71" s="136">
        <f>IF(P71&gt;30,200+S71,100+S71)</f>
        <v>129</v>
      </c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</row>
    <row r="72" spans="1:141" ht="15">
      <c r="A72" s="147" t="s">
        <v>140</v>
      </c>
      <c r="B72" s="148">
        <v>43063</v>
      </c>
      <c r="C72" s="149" t="s">
        <v>403</v>
      </c>
      <c r="D72" s="150">
        <v>4235</v>
      </c>
      <c r="K72" s="151">
        <v>43119</v>
      </c>
      <c r="M72" s="155">
        <v>43131</v>
      </c>
      <c r="N72" s="155">
        <f>+M72</f>
        <v>43131</v>
      </c>
      <c r="O72" s="137">
        <f>+M72-K72</f>
        <v>12</v>
      </c>
      <c r="P72" s="137">
        <f>+N72-M72</f>
        <v>0</v>
      </c>
      <c r="Q72" s="137">
        <f>+N72-K72</f>
        <v>12</v>
      </c>
      <c r="R72" s="137">
        <f>+Q72-30</f>
        <v>-18</v>
      </c>
      <c r="S72" s="2">
        <v>29</v>
      </c>
      <c r="T72" s="138">
        <f>+P72*D72</f>
        <v>0</v>
      </c>
      <c r="U72" s="138">
        <f>+R72*D72</f>
        <v>-76230</v>
      </c>
      <c r="V72" s="136">
        <f>IF(P72&gt;30,200+S72,100+S72)</f>
        <v>129</v>
      </c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</row>
    <row r="73" spans="1:141" ht="15">
      <c r="A73" s="147" t="s">
        <v>138</v>
      </c>
      <c r="B73" s="148">
        <v>43098</v>
      </c>
      <c r="C73" s="149" t="s">
        <v>401</v>
      </c>
      <c r="D73" s="150">
        <v>1197.91</v>
      </c>
      <c r="K73" s="151">
        <v>43119</v>
      </c>
      <c r="M73" s="155">
        <v>43131</v>
      </c>
      <c r="N73" s="155">
        <f>+M73</f>
        <v>43131</v>
      </c>
      <c r="O73" s="137">
        <f>+M73-K73</f>
        <v>12</v>
      </c>
      <c r="P73" s="137">
        <f>+N73-M73</f>
        <v>0</v>
      </c>
      <c r="Q73" s="137">
        <f>+N73-K73</f>
        <v>12</v>
      </c>
      <c r="R73" s="137">
        <f>+Q73-30</f>
        <v>-18</v>
      </c>
      <c r="S73" s="2">
        <v>29</v>
      </c>
      <c r="T73" s="138">
        <f>+P73*D73</f>
        <v>0</v>
      </c>
      <c r="U73" s="138">
        <f>+R73*D73</f>
        <v>-21562.38</v>
      </c>
      <c r="V73" s="136">
        <f>IF(P73&gt;30,200+S73,100+S73)</f>
        <v>129</v>
      </c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</row>
    <row r="74" spans="1:141" ht="15">
      <c r="A74" s="147" t="s">
        <v>137</v>
      </c>
      <c r="B74" s="148">
        <v>43045</v>
      </c>
      <c r="C74" s="149" t="s">
        <v>400</v>
      </c>
      <c r="D74" s="150">
        <v>145.2</v>
      </c>
      <c r="K74" s="151">
        <v>43119</v>
      </c>
      <c r="M74" s="155">
        <v>43131</v>
      </c>
      <c r="N74" s="155">
        <f>+M74</f>
        <v>43131</v>
      </c>
      <c r="O74" s="137">
        <f>+M74-K74</f>
        <v>12</v>
      </c>
      <c r="P74" s="137">
        <f>+N74-M74</f>
        <v>0</v>
      </c>
      <c r="Q74" s="137">
        <f>+N74-K74</f>
        <v>12</v>
      </c>
      <c r="R74" s="137">
        <f>+Q74-30</f>
        <v>-18</v>
      </c>
      <c r="S74" s="2">
        <v>29</v>
      </c>
      <c r="T74" s="138">
        <f>+P74*D74</f>
        <v>0</v>
      </c>
      <c r="U74" s="138">
        <f>+R74*D74</f>
        <v>-2613.6</v>
      </c>
      <c r="V74" s="136">
        <f>IF(P74&gt;30,200+S74,100+S74)</f>
        <v>129</v>
      </c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</row>
    <row r="75" spans="1:141" ht="15">
      <c r="A75" s="147" t="s">
        <v>136</v>
      </c>
      <c r="B75" s="148">
        <v>43096</v>
      </c>
      <c r="C75" s="149" t="s">
        <v>399</v>
      </c>
      <c r="D75" s="150">
        <v>50</v>
      </c>
      <c r="K75" s="151">
        <v>43096</v>
      </c>
      <c r="M75" s="155">
        <v>43115</v>
      </c>
      <c r="N75" s="155">
        <f>+M75</f>
        <v>43115</v>
      </c>
      <c r="O75" s="137">
        <f>+M75-K75</f>
        <v>19</v>
      </c>
      <c r="P75" s="137">
        <f>+N75-M75</f>
        <v>0</v>
      </c>
      <c r="Q75" s="137">
        <f>+N75-K75</f>
        <v>19</v>
      </c>
      <c r="R75" s="137">
        <f>+Q75-30</f>
        <v>-11</v>
      </c>
      <c r="S75" s="2">
        <v>29</v>
      </c>
      <c r="T75" s="138">
        <f>+P75*D75</f>
        <v>0</v>
      </c>
      <c r="U75" s="138">
        <f>+R75*D75</f>
        <v>-550</v>
      </c>
      <c r="V75" s="136">
        <f>IF(P75&gt;30,200+S75,100+S75)</f>
        <v>129</v>
      </c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</row>
    <row r="76" spans="1:141" ht="15">
      <c r="A76" s="147" t="s">
        <v>134</v>
      </c>
      <c r="B76" s="148">
        <v>43097</v>
      </c>
      <c r="C76" s="149" t="s">
        <v>397</v>
      </c>
      <c r="D76" s="150">
        <v>16.18</v>
      </c>
      <c r="K76" s="151">
        <v>43097</v>
      </c>
      <c r="M76" s="155">
        <v>43116</v>
      </c>
      <c r="N76" s="155">
        <f>+M76</f>
        <v>43116</v>
      </c>
      <c r="O76" s="137">
        <f>+M76-K76</f>
        <v>19</v>
      </c>
      <c r="P76" s="137">
        <f>+N76-M76</f>
        <v>0</v>
      </c>
      <c r="Q76" s="137">
        <f>+N76-K76</f>
        <v>19</v>
      </c>
      <c r="R76" s="137">
        <f>+Q76-30</f>
        <v>-11</v>
      </c>
      <c r="S76" s="2">
        <v>29</v>
      </c>
      <c r="T76" s="138">
        <f>+P76*D76</f>
        <v>0</v>
      </c>
      <c r="U76" s="138">
        <f>+R76*D76</f>
        <v>-177.98</v>
      </c>
      <c r="V76" s="136">
        <f>IF(P76&gt;30,200+S76,100+S76)</f>
        <v>129</v>
      </c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</row>
    <row r="77" spans="1:141" ht="15">
      <c r="A77" s="147" t="s">
        <v>635</v>
      </c>
      <c r="B77" s="148">
        <v>43097</v>
      </c>
      <c r="C77" s="149" t="s">
        <v>659</v>
      </c>
      <c r="D77" s="150">
        <v>16.01</v>
      </c>
      <c r="K77" s="151">
        <v>43119</v>
      </c>
      <c r="M77" s="155">
        <v>43116</v>
      </c>
      <c r="N77" s="155">
        <f>+M77</f>
        <v>43116</v>
      </c>
      <c r="O77" s="137">
        <f>+M77-K77</f>
        <v>-3</v>
      </c>
      <c r="P77" s="137">
        <f>+N77-M77</f>
        <v>0</v>
      </c>
      <c r="Q77" s="137">
        <f>+N77-K77</f>
        <v>-3</v>
      </c>
      <c r="R77" s="137">
        <f>+Q77-30</f>
        <v>-33</v>
      </c>
      <c r="S77" s="2">
        <v>29</v>
      </c>
      <c r="T77" s="138">
        <f>+P77*D77</f>
        <v>0</v>
      </c>
      <c r="U77" s="138">
        <f>+R77*D77</f>
        <v>-528.33</v>
      </c>
      <c r="V77" s="136">
        <f>IF(P77&gt;30,200+S77,100+S77)</f>
        <v>129</v>
      </c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</row>
    <row r="78" spans="1:141" ht="15">
      <c r="A78" s="147" t="s">
        <v>133</v>
      </c>
      <c r="B78" s="148">
        <v>43097</v>
      </c>
      <c r="C78" s="149" t="s">
        <v>396</v>
      </c>
      <c r="D78" s="150">
        <v>45.51</v>
      </c>
      <c r="K78" s="151">
        <v>43097</v>
      </c>
      <c r="M78" s="155">
        <v>43116</v>
      </c>
      <c r="N78" s="155">
        <f>+M78</f>
        <v>43116</v>
      </c>
      <c r="O78" s="137">
        <f>+M78-K78</f>
        <v>19</v>
      </c>
      <c r="P78" s="137">
        <f>+N78-M78</f>
        <v>0</v>
      </c>
      <c r="Q78" s="137">
        <f>+N78-K78</f>
        <v>19</v>
      </c>
      <c r="R78" s="137">
        <f>+Q78-30</f>
        <v>-11</v>
      </c>
      <c r="S78" s="2">
        <v>29</v>
      </c>
      <c r="T78" s="138">
        <f>+P78*D78</f>
        <v>0</v>
      </c>
      <c r="U78" s="138">
        <f>+R78*D78</f>
        <v>-500.60999999999996</v>
      </c>
      <c r="V78" s="136">
        <f>IF(P78&gt;30,200+S78,100+S78)</f>
        <v>129</v>
      </c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</row>
    <row r="79" spans="1:141" ht="15">
      <c r="A79" s="147" t="s">
        <v>132</v>
      </c>
      <c r="B79" s="148">
        <v>43097</v>
      </c>
      <c r="C79" s="149" t="s">
        <v>395</v>
      </c>
      <c r="D79" s="150">
        <v>43.99</v>
      </c>
      <c r="K79" s="151">
        <v>43097</v>
      </c>
      <c r="M79" s="155">
        <v>43116</v>
      </c>
      <c r="N79" s="155">
        <f>+M79</f>
        <v>43116</v>
      </c>
      <c r="O79" s="137">
        <f>+M79-K79</f>
        <v>19</v>
      </c>
      <c r="P79" s="137">
        <f>+N79-M79</f>
        <v>0</v>
      </c>
      <c r="Q79" s="137">
        <f>+N79-K79</f>
        <v>19</v>
      </c>
      <c r="R79" s="137">
        <f>+Q79-30</f>
        <v>-11</v>
      </c>
      <c r="S79" s="2">
        <v>29</v>
      </c>
      <c r="T79" s="138">
        <f>+P79*D79</f>
        <v>0</v>
      </c>
      <c r="U79" s="138">
        <f>+R79*D79</f>
        <v>-483.89000000000004</v>
      </c>
      <c r="V79" s="136">
        <f>IF(P79&gt;30,200+S79,100+S79)</f>
        <v>129</v>
      </c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</row>
    <row r="80" spans="1:141" ht="15">
      <c r="A80" s="147" t="s">
        <v>131</v>
      </c>
      <c r="B80" s="148">
        <v>43097</v>
      </c>
      <c r="C80" s="149" t="s">
        <v>394</v>
      </c>
      <c r="D80" s="150">
        <v>28.8</v>
      </c>
      <c r="K80" s="151">
        <v>43097</v>
      </c>
      <c r="M80" s="155">
        <v>43116</v>
      </c>
      <c r="N80" s="155">
        <f>+M80</f>
        <v>43116</v>
      </c>
      <c r="O80" s="137">
        <f>+M80-K80</f>
        <v>19</v>
      </c>
      <c r="P80" s="137">
        <f>+N80-M80</f>
        <v>0</v>
      </c>
      <c r="Q80" s="137">
        <f>+N80-K80</f>
        <v>19</v>
      </c>
      <c r="R80" s="137">
        <f>+Q80-30</f>
        <v>-11</v>
      </c>
      <c r="S80" s="2">
        <v>29</v>
      </c>
      <c r="T80" s="138">
        <f>+P80*D80</f>
        <v>0</v>
      </c>
      <c r="U80" s="138">
        <f>+R80*D80</f>
        <v>-316.8</v>
      </c>
      <c r="V80" s="136">
        <f>IF(P80&gt;30,200+S80,100+S80)</f>
        <v>129</v>
      </c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</row>
    <row r="81" spans="1:141" ht="15">
      <c r="A81" s="147" t="s">
        <v>130</v>
      </c>
      <c r="B81" s="148">
        <v>43097</v>
      </c>
      <c r="C81" s="149" t="s">
        <v>393</v>
      </c>
      <c r="D81" s="150">
        <v>17.38</v>
      </c>
      <c r="K81" s="151">
        <v>43097</v>
      </c>
      <c r="M81" s="155">
        <v>43116</v>
      </c>
      <c r="N81" s="155">
        <f>+M81</f>
        <v>43116</v>
      </c>
      <c r="O81" s="137">
        <f>+M81-K81</f>
        <v>19</v>
      </c>
      <c r="P81" s="137">
        <f>+N81-M81</f>
        <v>0</v>
      </c>
      <c r="Q81" s="137">
        <f>+N81-K81</f>
        <v>19</v>
      </c>
      <c r="R81" s="137">
        <f>+Q81-30</f>
        <v>-11</v>
      </c>
      <c r="S81" s="2">
        <v>29</v>
      </c>
      <c r="T81" s="138">
        <f>+P81*D81</f>
        <v>0</v>
      </c>
      <c r="U81" s="138">
        <f>+R81*D81</f>
        <v>-191.17999999999998</v>
      </c>
      <c r="V81" s="136">
        <f>IF(P81&gt;30,200+S81,100+S81)</f>
        <v>129</v>
      </c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</row>
    <row r="82" spans="1:141" ht="15">
      <c r="A82" s="147" t="s">
        <v>129</v>
      </c>
      <c r="B82" s="148">
        <v>43097</v>
      </c>
      <c r="C82" s="149" t="s">
        <v>392</v>
      </c>
      <c r="D82" s="150">
        <v>18.55</v>
      </c>
      <c r="K82" s="151">
        <v>43097</v>
      </c>
      <c r="M82" s="155">
        <v>43116</v>
      </c>
      <c r="N82" s="155">
        <f>+M82</f>
        <v>43116</v>
      </c>
      <c r="O82" s="137">
        <f>+M82-K82</f>
        <v>19</v>
      </c>
      <c r="P82" s="137">
        <f>+N82-M82</f>
        <v>0</v>
      </c>
      <c r="Q82" s="137">
        <f>+N82-K82</f>
        <v>19</v>
      </c>
      <c r="R82" s="137">
        <f>+Q82-30</f>
        <v>-11</v>
      </c>
      <c r="S82" s="2">
        <v>29</v>
      </c>
      <c r="T82" s="138">
        <f>+P82*D82</f>
        <v>0</v>
      </c>
      <c r="U82" s="138">
        <f>+R82*D82</f>
        <v>-204.05</v>
      </c>
      <c r="V82" s="136">
        <f>IF(P82&gt;30,200+S82,100+S82)</f>
        <v>129</v>
      </c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</row>
    <row r="83" spans="1:141" ht="15">
      <c r="A83" s="147" t="s">
        <v>117</v>
      </c>
      <c r="B83" s="148">
        <v>43100</v>
      </c>
      <c r="C83" s="149" t="s">
        <v>380</v>
      </c>
      <c r="D83" s="150">
        <v>1694</v>
      </c>
      <c r="K83" s="151">
        <v>43122</v>
      </c>
      <c r="M83" s="155">
        <v>43131</v>
      </c>
      <c r="N83" s="155">
        <f>+M83</f>
        <v>43131</v>
      </c>
      <c r="O83" s="137">
        <f>+M83-K83</f>
        <v>9</v>
      </c>
      <c r="P83" s="137">
        <f>+N83-M83</f>
        <v>0</v>
      </c>
      <c r="Q83" s="137">
        <f>+N83-K83</f>
        <v>9</v>
      </c>
      <c r="R83" s="137">
        <f>+Q83-30</f>
        <v>-21</v>
      </c>
      <c r="S83" s="2">
        <v>29</v>
      </c>
      <c r="T83" s="138">
        <f>+P83*D83</f>
        <v>0</v>
      </c>
      <c r="U83" s="138">
        <f>+R83*D83</f>
        <v>-35574</v>
      </c>
      <c r="V83" s="136">
        <f>IF(P83&gt;30,200+S83,100+S83)</f>
        <v>129</v>
      </c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</row>
    <row r="84" spans="1:141" ht="15">
      <c r="A84" s="147" t="s">
        <v>116</v>
      </c>
      <c r="B84" s="148">
        <v>43100</v>
      </c>
      <c r="C84" s="149" t="s">
        <v>379</v>
      </c>
      <c r="D84" s="150">
        <v>2521.55</v>
      </c>
      <c r="K84" s="151">
        <v>43100</v>
      </c>
      <c r="M84" s="155">
        <v>43121</v>
      </c>
      <c r="N84" s="155">
        <f>+M84</f>
        <v>43121</v>
      </c>
      <c r="O84" s="137">
        <f>+M84-K84</f>
        <v>21</v>
      </c>
      <c r="P84" s="137">
        <f>+N84-M84</f>
        <v>0</v>
      </c>
      <c r="Q84" s="137">
        <f>+N84-K84</f>
        <v>21</v>
      </c>
      <c r="R84" s="137">
        <f>+Q84-30</f>
        <v>-9</v>
      </c>
      <c r="S84" s="2">
        <v>29</v>
      </c>
      <c r="T84" s="138">
        <f>+P84*D84</f>
        <v>0</v>
      </c>
      <c r="U84" s="138">
        <f>+R84*D84</f>
        <v>-22693.95</v>
      </c>
      <c r="V84" s="136">
        <f>IF(P84&gt;30,200+S84,100+S84)</f>
        <v>129</v>
      </c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</row>
    <row r="85" spans="1:141" ht="15">
      <c r="A85" s="147" t="s">
        <v>636</v>
      </c>
      <c r="B85" s="148">
        <v>43100</v>
      </c>
      <c r="C85" s="149" t="s">
        <v>660</v>
      </c>
      <c r="D85" s="150">
        <v>2100</v>
      </c>
      <c r="K85" s="151">
        <v>43123</v>
      </c>
      <c r="M85" s="155">
        <v>43131</v>
      </c>
      <c r="N85" s="155">
        <f>+M85</f>
        <v>43131</v>
      </c>
      <c r="O85" s="137">
        <f>+M85-K85</f>
        <v>8</v>
      </c>
      <c r="P85" s="137">
        <f>+N85-M85</f>
        <v>0</v>
      </c>
      <c r="Q85" s="137">
        <f>+N85-K85</f>
        <v>8</v>
      </c>
      <c r="R85" s="137">
        <f>+Q85-30</f>
        <v>-22</v>
      </c>
      <c r="S85" s="2">
        <v>29</v>
      </c>
      <c r="T85" s="138">
        <f>+P85*D85</f>
        <v>0</v>
      </c>
      <c r="U85" s="138">
        <f>+R85*D85</f>
        <v>-46200</v>
      </c>
      <c r="V85" s="136">
        <f>IF(P85&gt;30,200+S85,100+S85)</f>
        <v>129</v>
      </c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</row>
    <row r="86" spans="1:141" ht="15">
      <c r="A86" s="147" t="s">
        <v>642</v>
      </c>
      <c r="B86" s="148">
        <v>43098</v>
      </c>
      <c r="C86" s="149" t="s">
        <v>666</v>
      </c>
      <c r="D86" s="150">
        <v>1916.64</v>
      </c>
      <c r="K86" s="151">
        <v>43098</v>
      </c>
      <c r="M86" s="155">
        <v>43131</v>
      </c>
      <c r="N86" s="155">
        <f>+M86</f>
        <v>43131</v>
      </c>
      <c r="O86" s="137">
        <f>+M86-K86</f>
        <v>33</v>
      </c>
      <c r="P86" s="137">
        <f>+N86-M86</f>
        <v>0</v>
      </c>
      <c r="Q86" s="137">
        <f>+N86-K86</f>
        <v>33</v>
      </c>
      <c r="R86" s="137">
        <f>+Q86-30</f>
        <v>3</v>
      </c>
      <c r="S86" s="2">
        <v>29</v>
      </c>
      <c r="T86" s="138">
        <f>+P86*D86</f>
        <v>0</v>
      </c>
      <c r="U86" s="138">
        <f>+R86*D86</f>
        <v>5749.92</v>
      </c>
      <c r="V86" s="136">
        <f>IF(P86&gt;30,200+S86,100+S86)</f>
        <v>129</v>
      </c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</row>
    <row r="87" spans="1:141" ht="15">
      <c r="A87" s="147" t="s">
        <v>647</v>
      </c>
      <c r="B87" s="148">
        <v>43039</v>
      </c>
      <c r="C87" s="149" t="s">
        <v>671</v>
      </c>
      <c r="D87" s="150">
        <v>275.88</v>
      </c>
      <c r="K87" s="151">
        <v>43039</v>
      </c>
      <c r="M87" s="155">
        <v>43131</v>
      </c>
      <c r="N87" s="155">
        <f>+M87</f>
        <v>43131</v>
      </c>
      <c r="O87" s="137">
        <f>+M87-K87</f>
        <v>92</v>
      </c>
      <c r="P87" s="137">
        <f>+N87-M87</f>
        <v>0</v>
      </c>
      <c r="Q87" s="137">
        <f>+N87-K87</f>
        <v>92</v>
      </c>
      <c r="R87" s="137">
        <f>+Q87-30</f>
        <v>62</v>
      </c>
      <c r="S87" s="2">
        <v>29</v>
      </c>
      <c r="T87" s="138">
        <f>+P87*D87</f>
        <v>0</v>
      </c>
      <c r="U87" s="138">
        <f>+R87*D87</f>
        <v>17104.56</v>
      </c>
      <c r="V87" s="136">
        <f>IF(P87&gt;30,200+S87,100+S87)</f>
        <v>129</v>
      </c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</row>
    <row r="88" spans="1:141" ht="15">
      <c r="A88" s="147" t="s">
        <v>648</v>
      </c>
      <c r="B88" s="148">
        <v>43100</v>
      </c>
      <c r="C88" s="149" t="s">
        <v>672</v>
      </c>
      <c r="D88" s="150">
        <v>760</v>
      </c>
      <c r="K88" s="151">
        <v>43100</v>
      </c>
      <c r="M88" s="155">
        <v>43130</v>
      </c>
      <c r="N88" s="155">
        <f>+M88</f>
        <v>43130</v>
      </c>
      <c r="O88" s="137">
        <f>+M88-K88</f>
        <v>30</v>
      </c>
      <c r="P88" s="137">
        <f>+N88-M88</f>
        <v>0</v>
      </c>
      <c r="Q88" s="137">
        <f>+N88-K88</f>
        <v>30</v>
      </c>
      <c r="R88" s="137">
        <f>+Q88-30</f>
        <v>0</v>
      </c>
      <c r="S88" s="2">
        <v>29</v>
      </c>
      <c r="T88" s="138">
        <f>+P88*D88</f>
        <v>0</v>
      </c>
      <c r="U88" s="138">
        <f>+R88*D88</f>
        <v>0</v>
      </c>
      <c r="V88" s="136">
        <f>IF(P88&gt;30,200+S88,100+S88)</f>
        <v>129</v>
      </c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</row>
    <row r="89" spans="1:141" ht="15">
      <c r="A89" s="147" t="s">
        <v>650</v>
      </c>
      <c r="B89" s="148">
        <v>43100</v>
      </c>
      <c r="C89" s="149" t="s">
        <v>674</v>
      </c>
      <c r="D89" s="150">
        <v>99.85</v>
      </c>
      <c r="K89" s="151">
        <v>43100</v>
      </c>
      <c r="M89" s="155">
        <v>43130</v>
      </c>
      <c r="N89" s="155">
        <f>+M89</f>
        <v>43130</v>
      </c>
      <c r="O89" s="137">
        <f>+M89-K89</f>
        <v>30</v>
      </c>
      <c r="P89" s="137">
        <f>+N89-M89</f>
        <v>0</v>
      </c>
      <c r="Q89" s="137">
        <f>+N89-K89</f>
        <v>30</v>
      </c>
      <c r="R89" s="137">
        <f>+Q89-30</f>
        <v>0</v>
      </c>
      <c r="S89" s="2">
        <v>29</v>
      </c>
      <c r="T89" s="138">
        <f>+P89*D89</f>
        <v>0</v>
      </c>
      <c r="U89" s="138">
        <f>+R89*D89</f>
        <v>0</v>
      </c>
      <c r="V89" s="136">
        <f>IF(P89&gt;30,200+S89,100+S89)</f>
        <v>129</v>
      </c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</row>
    <row r="90" spans="1:141" ht="15">
      <c r="A90" s="147" t="s">
        <v>651</v>
      </c>
      <c r="B90" s="148">
        <v>43099</v>
      </c>
      <c r="C90" s="149" t="s">
        <v>675</v>
      </c>
      <c r="D90" s="150">
        <v>798.6</v>
      </c>
      <c r="K90" s="151">
        <v>43099</v>
      </c>
      <c r="M90" s="155">
        <v>43131</v>
      </c>
      <c r="N90" s="155">
        <f>+M90</f>
        <v>43131</v>
      </c>
      <c r="O90" s="137">
        <f>+M90-K90</f>
        <v>32</v>
      </c>
      <c r="P90" s="137">
        <f>+N90-M90</f>
        <v>0</v>
      </c>
      <c r="Q90" s="137">
        <f>+N90-K90</f>
        <v>32</v>
      </c>
      <c r="R90" s="137">
        <f>+Q90-30</f>
        <v>2</v>
      </c>
      <c r="S90" s="2">
        <v>29</v>
      </c>
      <c r="T90" s="138">
        <f>+P90*D90</f>
        <v>0</v>
      </c>
      <c r="U90" s="138">
        <f>+R90*D90</f>
        <v>1597.2</v>
      </c>
      <c r="V90" s="136">
        <f>IF(P90&gt;30,200+S90,100+S90)</f>
        <v>129</v>
      </c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</row>
    <row r="91" spans="1:141" ht="15">
      <c r="A91" s="147" t="s">
        <v>654</v>
      </c>
      <c r="B91" s="148">
        <v>43063</v>
      </c>
      <c r="C91" s="149" t="s">
        <v>678</v>
      </c>
      <c r="D91" s="150">
        <v>174.24</v>
      </c>
      <c r="K91" s="151">
        <v>43063</v>
      </c>
      <c r="M91" s="155">
        <v>43131</v>
      </c>
      <c r="N91" s="155">
        <f>+M91</f>
        <v>43131</v>
      </c>
      <c r="O91" s="137">
        <f>+M91-K91</f>
        <v>68</v>
      </c>
      <c r="P91" s="137">
        <f>+N91-M91</f>
        <v>0</v>
      </c>
      <c r="Q91" s="137">
        <f>+N91-K91</f>
        <v>68</v>
      </c>
      <c r="R91" s="137">
        <f>+Q91-30</f>
        <v>38</v>
      </c>
      <c r="S91" s="2">
        <v>29</v>
      </c>
      <c r="T91" s="138">
        <f>+P91*D91</f>
        <v>0</v>
      </c>
      <c r="U91" s="138">
        <f>+R91*D91</f>
        <v>6621.120000000001</v>
      </c>
      <c r="V91" s="136">
        <f>IF(P91&gt;30,200+S91,100+S91)</f>
        <v>129</v>
      </c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</row>
    <row r="92" spans="1:141" ht="15">
      <c r="A92" s="147" t="s">
        <v>655</v>
      </c>
      <c r="B92" s="148">
        <v>43059</v>
      </c>
      <c r="C92" s="149" t="s">
        <v>679</v>
      </c>
      <c r="D92" s="150">
        <v>175.45</v>
      </c>
      <c r="K92" s="151">
        <v>43059</v>
      </c>
      <c r="M92" s="155">
        <v>43131</v>
      </c>
      <c r="N92" s="155">
        <f>+M92</f>
        <v>43131</v>
      </c>
      <c r="O92" s="137">
        <f>+M92-K92</f>
        <v>72</v>
      </c>
      <c r="P92" s="137">
        <f>+N92-M92</f>
        <v>0</v>
      </c>
      <c r="Q92" s="137">
        <f>+N92-K92</f>
        <v>72</v>
      </c>
      <c r="R92" s="137">
        <f>+Q92-30</f>
        <v>42</v>
      </c>
      <c r="S92" s="2">
        <v>29</v>
      </c>
      <c r="T92" s="138">
        <f>+P92*D92</f>
        <v>0</v>
      </c>
      <c r="U92" s="138">
        <f>+R92*D92</f>
        <v>7368.9</v>
      </c>
      <c r="V92" s="136">
        <f>IF(P92&gt;30,200+S92,100+S92)</f>
        <v>129</v>
      </c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</row>
    <row r="93" spans="1:141" ht="15">
      <c r="A93" s="147" t="s">
        <v>656</v>
      </c>
      <c r="B93" s="148">
        <v>43100</v>
      </c>
      <c r="C93" s="149" t="s">
        <v>680</v>
      </c>
      <c r="D93" s="150">
        <v>14.85</v>
      </c>
      <c r="K93" s="151">
        <v>43100</v>
      </c>
      <c r="M93" s="155">
        <v>43130</v>
      </c>
      <c r="N93" s="155">
        <f>+M93</f>
        <v>43130</v>
      </c>
      <c r="O93" s="137">
        <f>+M93-K93</f>
        <v>30</v>
      </c>
      <c r="P93" s="137">
        <f>+N93-M93</f>
        <v>0</v>
      </c>
      <c r="Q93" s="137">
        <f>+N93-K93</f>
        <v>30</v>
      </c>
      <c r="R93" s="137">
        <f>+Q93-30</f>
        <v>0</v>
      </c>
      <c r="S93" s="2">
        <v>29</v>
      </c>
      <c r="T93" s="138">
        <f>+P93*D93</f>
        <v>0</v>
      </c>
      <c r="U93" s="138">
        <f>+R93*D93</f>
        <v>0</v>
      </c>
      <c r="V93" s="136">
        <f>IF(P93&gt;30,200+S93,100+S93)</f>
        <v>129</v>
      </c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</row>
    <row r="94" spans="1:141" ht="15">
      <c r="A94" s="147" t="s">
        <v>657</v>
      </c>
      <c r="B94" s="148">
        <v>43081</v>
      </c>
      <c r="C94" s="149" t="s">
        <v>681</v>
      </c>
      <c r="D94" s="150">
        <v>550</v>
      </c>
      <c r="K94" s="151">
        <v>43081</v>
      </c>
      <c r="M94" s="155">
        <v>43131</v>
      </c>
      <c r="N94" s="155">
        <f>+M94</f>
        <v>43131</v>
      </c>
      <c r="O94" s="137">
        <f>+M94-K94</f>
        <v>50</v>
      </c>
      <c r="P94" s="137">
        <f>+N94-M94</f>
        <v>0</v>
      </c>
      <c r="Q94" s="137">
        <f>+N94-K94</f>
        <v>50</v>
      </c>
      <c r="R94" s="137">
        <f>+Q94-30</f>
        <v>20</v>
      </c>
      <c r="S94" s="2">
        <v>29</v>
      </c>
      <c r="T94" s="138">
        <f>+P94*D94</f>
        <v>0</v>
      </c>
      <c r="U94" s="138">
        <f>+R94*D94</f>
        <v>11000</v>
      </c>
      <c r="V94" s="136">
        <f>IF(P94&gt;30,200+S94,100+S94)</f>
        <v>129</v>
      </c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</row>
    <row r="95" spans="1:141" ht="15">
      <c r="A95" s="147" t="s">
        <v>144</v>
      </c>
      <c r="B95" s="148">
        <v>43100</v>
      </c>
      <c r="C95" s="149" t="s">
        <v>407</v>
      </c>
      <c r="D95" s="150">
        <v>222.04</v>
      </c>
      <c r="K95" s="151">
        <v>43100</v>
      </c>
      <c r="M95" s="155">
        <v>43102</v>
      </c>
      <c r="N95" s="155">
        <f>+M95</f>
        <v>43102</v>
      </c>
      <c r="O95" s="137">
        <f>+M95-K95</f>
        <v>2</v>
      </c>
      <c r="P95" s="137">
        <f>+N95-M95</f>
        <v>0</v>
      </c>
      <c r="Q95" s="137">
        <f>+N95-K95</f>
        <v>2</v>
      </c>
      <c r="R95" s="137">
        <f>+Q95-30</f>
        <v>-28</v>
      </c>
      <c r="S95" s="2">
        <v>29</v>
      </c>
      <c r="T95" s="138">
        <f>+P95*D95</f>
        <v>0</v>
      </c>
      <c r="U95" s="138">
        <f>+R95*D95</f>
        <v>-6217.12</v>
      </c>
      <c r="V95" s="136">
        <f>IF(P95&gt;30,200+S95,100+S95)</f>
        <v>129</v>
      </c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</row>
  </sheetData>
  <sheetProtection/>
  <printOptions/>
  <pageMargins left="0.75" right="0.75" top="1" bottom="1" header="0.4921259845" footer="0.49212598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USR05</dc:creator>
  <cp:keywords/>
  <dc:description/>
  <cp:lastModifiedBy>Bakartxo Villar</cp:lastModifiedBy>
  <cp:lastPrinted>2018-03-13T12:50:51Z</cp:lastPrinted>
  <dcterms:created xsi:type="dcterms:W3CDTF">2013-12-21T08:23:27Z</dcterms:created>
  <dcterms:modified xsi:type="dcterms:W3CDTF">2018-03-14T08:30:16Z</dcterms:modified>
  <cp:category/>
  <cp:version/>
  <cp:contentType/>
  <cp:contentStatus/>
</cp:coreProperties>
</file>