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'xehet1'!$A$3:$R$5</definedName>
    <definedName name="_xlnm.Print_Area" localSheetId="2">'xehet2'!$A$1:$R$8</definedName>
    <definedName name="_xlnm.Print_Area" localSheetId="3">'xehet32'!$A$1:$P$1</definedName>
  </definedNames>
  <calcPr fullCalcOnLoad="1"/>
</workbook>
</file>

<file path=xl/sharedStrings.xml><?xml version="1.0" encoding="utf-8"?>
<sst xmlns="http://schemas.openxmlformats.org/spreadsheetml/2006/main" count="696" uniqueCount="602">
  <si>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</si>
  <si>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</si>
  <si>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</si>
  <si>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</si>
  <si>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</si>
  <si>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</si>
  <si>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</si>
  <si>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</si>
  <si>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</si>
  <si>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</si>
  <si>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</si>
  <si>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</si>
  <si>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</si>
  <si>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</si>
  <si>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</si>
  <si>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</si>
  <si>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</si>
  <si>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</si>
  <si>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</si>
  <si>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</si>
  <si>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</si>
  <si>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</si>
  <si>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</si>
  <si>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</si>
  <si>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</si>
  <si>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</si>
  <si>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</si>
  <si>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</si>
  <si>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</si>
  <si>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</si>
  <si>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</si>
  <si>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</si>
  <si>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</si>
  <si>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</si>
  <si>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</si>
  <si>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</si>
  <si>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</si>
  <si>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</si>
  <si>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</si>
  <si>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</si>
  <si>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</si>
  <si>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</si>
  <si>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</si>
  <si>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</si>
  <si>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</si>
  <si>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</si>
  <si>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</si>
  <si>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</si>
  <si>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</si>
  <si>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</si>
  <si>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</si>
  <si>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</si>
  <si>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</si>
  <si>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</si>
  <si>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</si>
  <si>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</si>
  <si>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</si>
  <si>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</si>
  <si>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</si>
  <si>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</si>
  <si>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</si>
  <si>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</si>
  <si>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</si>
  <si>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</si>
  <si>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</si>
  <si>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</si>
  <si>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</si>
  <si>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</si>
  <si>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</si>
  <si>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</si>
  <si>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</si>
  <si>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</si>
  <si>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</si>
  <si>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</si>
  <si>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</si>
  <si>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</si>
  <si>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</si>
  <si>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</si>
  <si>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</si>
  <si>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</si>
  <si>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</si>
  <si>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</si>
  <si>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</si>
  <si>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</si>
  <si>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</si>
  <si>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</si>
  <si>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</si>
  <si>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</si>
  <si>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</si>
  <si>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</si>
  <si>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</si>
  <si>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</si>
  <si>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</si>
  <si>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</si>
  <si>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</si>
  <si>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</si>
  <si>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</si>
  <si>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</si>
  <si>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</si>
  <si>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</si>
  <si>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</si>
  <si>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</si>
  <si>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</si>
  <si>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</si>
  <si>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</si>
  <si>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</si>
  <si>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</si>
  <si>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</si>
  <si>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OARSOALDEA</t>
  </si>
  <si>
    <t>HH BUKAERA</t>
  </si>
  <si>
    <t>FCC1900581</t>
  </si>
  <si>
    <t>19/001003</t>
  </si>
  <si>
    <t>FCC1900584</t>
  </si>
  <si>
    <t>7/2019</t>
  </si>
  <si>
    <t>FCC1900606</t>
  </si>
  <si>
    <t>12</t>
  </si>
  <si>
    <t>FCC1900609</t>
  </si>
  <si>
    <t>114</t>
  </si>
  <si>
    <t>FCC1900614</t>
  </si>
  <si>
    <t>AH19/16</t>
  </si>
  <si>
    <t>FCC1900617</t>
  </si>
  <si>
    <t>2019-026</t>
  </si>
  <si>
    <t>FCC1900618</t>
  </si>
  <si>
    <t>T001-49444</t>
  </si>
  <si>
    <t>FCC1900634</t>
  </si>
  <si>
    <t>19-07-848</t>
  </si>
  <si>
    <t>FCC1900635</t>
  </si>
  <si>
    <t>19-07-849</t>
  </si>
  <si>
    <t>FCC1900636</t>
  </si>
  <si>
    <t>28-G9M0-052624</t>
  </si>
  <si>
    <t>FCC1900638</t>
  </si>
  <si>
    <t>FLG A7D38250</t>
  </si>
  <si>
    <t>FCC1900639</t>
  </si>
  <si>
    <t>FLG A7D51353</t>
  </si>
  <si>
    <t>FCC1900640</t>
  </si>
  <si>
    <t>FLL A7D43211</t>
  </si>
  <si>
    <t>FCC1900654</t>
  </si>
  <si>
    <t>1907C00472197</t>
  </si>
  <si>
    <t>FCC1900668</t>
  </si>
  <si>
    <t>2019/00116620</t>
  </si>
  <si>
    <t>FCC1900673</t>
  </si>
  <si>
    <t>CS87498</t>
  </si>
  <si>
    <t>FCC1900675</t>
  </si>
  <si>
    <t>CS87499</t>
  </si>
  <si>
    <t>FCC1900695</t>
  </si>
  <si>
    <t>2019/0012031</t>
  </si>
  <si>
    <t>FCC1900696</t>
  </si>
  <si>
    <t>2019-0098</t>
  </si>
  <si>
    <t>FCC1900700</t>
  </si>
  <si>
    <t>20190295</t>
  </si>
  <si>
    <t>FCC1900702</t>
  </si>
  <si>
    <t>194783</t>
  </si>
  <si>
    <t>FCC1900706</t>
  </si>
  <si>
    <t>1590/19</t>
  </si>
  <si>
    <t>FCC1900707</t>
  </si>
  <si>
    <t>1591/19</t>
  </si>
  <si>
    <t>FCC1900712</t>
  </si>
  <si>
    <t>1C/19</t>
  </si>
  <si>
    <t>FCC1900713</t>
  </si>
  <si>
    <t>14/2019</t>
  </si>
  <si>
    <t>FCC1900714</t>
  </si>
  <si>
    <t>028/2019</t>
  </si>
  <si>
    <t>FCC1900715</t>
  </si>
  <si>
    <t>G-15194</t>
  </si>
  <si>
    <t>FCC1900716</t>
  </si>
  <si>
    <t>8/2019</t>
  </si>
  <si>
    <t>FCC1900721</t>
  </si>
  <si>
    <t>9</t>
  </si>
  <si>
    <t>FCC1900722</t>
  </si>
  <si>
    <t>210</t>
  </si>
  <si>
    <t>FCC1900725</t>
  </si>
  <si>
    <t>A/002243</t>
  </si>
  <si>
    <t>FCC1900726</t>
  </si>
  <si>
    <t>A/002244</t>
  </si>
  <si>
    <t>FCC1900727</t>
  </si>
  <si>
    <t>011/2019</t>
  </si>
  <si>
    <t>FCC1900728</t>
  </si>
  <si>
    <t>0001181/19</t>
  </si>
  <si>
    <t>FCC1900729</t>
  </si>
  <si>
    <t>201907152</t>
  </si>
  <si>
    <t>FCC1900730</t>
  </si>
  <si>
    <t>330</t>
  </si>
  <si>
    <t>FCC1900731</t>
  </si>
  <si>
    <t>01/2019</t>
  </si>
  <si>
    <t>FCC1900732</t>
  </si>
  <si>
    <t>20190350</t>
  </si>
  <si>
    <t>FCC1900733</t>
  </si>
  <si>
    <t>21190730030017786</t>
  </si>
  <si>
    <t>FCC1900734</t>
  </si>
  <si>
    <t>19525</t>
  </si>
  <si>
    <t>FCC1900735</t>
  </si>
  <si>
    <t>S-1/2019</t>
  </si>
  <si>
    <t>FCC1900736</t>
  </si>
  <si>
    <t>A/1903347</t>
  </si>
  <si>
    <t>FCC1900737</t>
  </si>
  <si>
    <t>879/2019</t>
  </si>
  <si>
    <t>FCC1900738</t>
  </si>
  <si>
    <t>21190730030006297</t>
  </si>
  <si>
    <t>FCC1900739</t>
  </si>
  <si>
    <t>09190730030005716</t>
  </si>
  <si>
    <t>FCC1900740</t>
  </si>
  <si>
    <t>SI2019013352</t>
  </si>
  <si>
    <t>FCC1900741</t>
  </si>
  <si>
    <t>21190730030017785</t>
  </si>
  <si>
    <t>FCC1900742</t>
  </si>
  <si>
    <t>21190730030017787</t>
  </si>
  <si>
    <t>FCC1900743</t>
  </si>
  <si>
    <t>19-S-3.084</t>
  </si>
  <si>
    <t>FCC1900744</t>
  </si>
  <si>
    <t>19570</t>
  </si>
  <si>
    <t>FCC1900745</t>
  </si>
  <si>
    <t>21190730030013381</t>
  </si>
  <si>
    <t>FCC1900746</t>
  </si>
  <si>
    <t>21190730030000053</t>
  </si>
  <si>
    <t>FCC1900747</t>
  </si>
  <si>
    <t>21190730030000051</t>
  </si>
  <si>
    <t>FCC1900748</t>
  </si>
  <si>
    <t>A-19.135</t>
  </si>
  <si>
    <t>FCC1900749</t>
  </si>
  <si>
    <t>5203747</t>
  </si>
  <si>
    <t>FCC1900750</t>
  </si>
  <si>
    <t>5257</t>
  </si>
  <si>
    <t>FCC1900751</t>
  </si>
  <si>
    <t>R 18182</t>
  </si>
  <si>
    <t>FCC1900752</t>
  </si>
  <si>
    <t>765</t>
  </si>
  <si>
    <t>FCC1900753</t>
  </si>
  <si>
    <t>7250155134</t>
  </si>
  <si>
    <t>FCC1900754</t>
  </si>
  <si>
    <t>2019/3735</t>
  </si>
  <si>
    <t>FCC1900755</t>
  </si>
  <si>
    <t>EL3428</t>
  </si>
  <si>
    <t>FCC1900756</t>
  </si>
  <si>
    <t>AS18210</t>
  </si>
  <si>
    <t>FCC1900757</t>
  </si>
  <si>
    <t>3905857</t>
  </si>
  <si>
    <t>FCC1900761</t>
  </si>
  <si>
    <t>19113</t>
  </si>
  <si>
    <t>FCC1900762</t>
  </si>
  <si>
    <t>S-2/2019</t>
  </si>
  <si>
    <t>FCC1900763</t>
  </si>
  <si>
    <t>E071</t>
  </si>
  <si>
    <t>FCC1900764</t>
  </si>
  <si>
    <t>A 19.556</t>
  </si>
  <si>
    <t>FCC1900765</t>
  </si>
  <si>
    <t>A 99</t>
  </si>
  <si>
    <t>FCC1900766</t>
  </si>
  <si>
    <t>A 100</t>
  </si>
  <si>
    <t>FCC1900767</t>
  </si>
  <si>
    <t>A 101</t>
  </si>
  <si>
    <t>FCC1900768</t>
  </si>
  <si>
    <t>F19 215</t>
  </si>
  <si>
    <t>FCC1900770</t>
  </si>
  <si>
    <t>0001044</t>
  </si>
  <si>
    <t>FCC1900771</t>
  </si>
  <si>
    <t>0001043</t>
  </si>
  <si>
    <t>FCC1900772</t>
  </si>
  <si>
    <t>7250155135</t>
  </si>
  <si>
    <t>FCC1900773</t>
  </si>
  <si>
    <t>0000419</t>
  </si>
  <si>
    <t>FCC1900775</t>
  </si>
  <si>
    <t>9/2019</t>
  </si>
  <si>
    <t>FCC1900777</t>
  </si>
  <si>
    <t>1.016/2019</t>
  </si>
  <si>
    <t>FCC1900778</t>
  </si>
  <si>
    <t>19521</t>
  </si>
  <si>
    <t>FCC1900779</t>
  </si>
  <si>
    <t>1909C00471458</t>
  </si>
  <si>
    <t>FCC1900780</t>
  </si>
  <si>
    <t>301902056</t>
  </si>
  <si>
    <t>FCC1900781</t>
  </si>
  <si>
    <t>1908C00201058</t>
  </si>
  <si>
    <t>FCC1900782</t>
  </si>
  <si>
    <t>21190730030000052</t>
  </si>
  <si>
    <t>FCC1900791</t>
  </si>
  <si>
    <t>109FD20191162</t>
  </si>
  <si>
    <t>FCC1900792</t>
  </si>
  <si>
    <t>2019 / 000284</t>
  </si>
  <si>
    <t>FCC1900793</t>
  </si>
  <si>
    <t>2019 / 000273</t>
  </si>
  <si>
    <t>FCC1900794</t>
  </si>
  <si>
    <t>A/2019272</t>
  </si>
  <si>
    <t>FCC1900795</t>
  </si>
  <si>
    <t>291658187490-18</t>
  </si>
  <si>
    <t>FCC1900796</t>
  </si>
  <si>
    <t>291658187490-17</t>
  </si>
  <si>
    <t>FCC1900797</t>
  </si>
  <si>
    <t>272/19/GIP</t>
  </si>
  <si>
    <t>FCC1900798</t>
  </si>
  <si>
    <t>1900932</t>
  </si>
  <si>
    <t>FCC1900799</t>
  </si>
  <si>
    <t>1900928</t>
  </si>
  <si>
    <t>FCC1900800</t>
  </si>
  <si>
    <t>MHSW20191529</t>
  </si>
  <si>
    <t>FCC1900801</t>
  </si>
  <si>
    <t>201901978</t>
  </si>
  <si>
    <t>FCC1900802</t>
  </si>
  <si>
    <t>19-S-3.556</t>
  </si>
  <si>
    <t>FCC1900803</t>
  </si>
  <si>
    <t>7250155855</t>
  </si>
  <si>
    <t>FCC1900804</t>
  </si>
  <si>
    <t>232</t>
  </si>
  <si>
    <t>FCC1900810</t>
  </si>
  <si>
    <t>19.222</t>
  </si>
  <si>
    <t>FCC1900811</t>
  </si>
  <si>
    <t>G-15207</t>
  </si>
  <si>
    <t>FCC1900812</t>
  </si>
  <si>
    <t>21190829030012426</t>
  </si>
  <si>
    <t>FCC1900813</t>
  </si>
  <si>
    <t>21190829030000048</t>
  </si>
  <si>
    <t>FCC1900814</t>
  </si>
  <si>
    <t>21190829030000046</t>
  </si>
  <si>
    <t>FCC1900816</t>
  </si>
  <si>
    <t>19/192397</t>
  </si>
  <si>
    <t>FCC1900817</t>
  </si>
  <si>
    <t>5204292</t>
  </si>
  <si>
    <t>FCC1900818</t>
  </si>
  <si>
    <t>CONTRATO 949</t>
  </si>
  <si>
    <t>FCC1900819</t>
  </si>
  <si>
    <t>2019/0015044</t>
  </si>
  <si>
    <t>FCC1900822</t>
  </si>
  <si>
    <t>23/2019</t>
  </si>
  <si>
    <t>FCC1900823</t>
  </si>
  <si>
    <t>24/2019</t>
  </si>
  <si>
    <t>FCC1900824</t>
  </si>
  <si>
    <t>201907153</t>
  </si>
  <si>
    <t>FCC1900825</t>
  </si>
  <si>
    <t>201907181</t>
  </si>
  <si>
    <t>FCC1900826</t>
  </si>
  <si>
    <t>G-15250</t>
  </si>
  <si>
    <t>FCC1900827</t>
  </si>
  <si>
    <t>FAC 76</t>
  </si>
  <si>
    <t>FCC1900828</t>
  </si>
  <si>
    <t>19/192709</t>
  </si>
  <si>
    <t>FCC1900829</t>
  </si>
  <si>
    <t>3907056</t>
  </si>
  <si>
    <t>FCC1900830</t>
  </si>
  <si>
    <t>A-19.140</t>
  </si>
  <si>
    <t>FCC1900831</t>
  </si>
  <si>
    <t>19/A-058</t>
  </si>
  <si>
    <t>FCC1900832</t>
  </si>
  <si>
    <t>17-19</t>
  </si>
  <si>
    <t>FCC1900833</t>
  </si>
  <si>
    <t>67-19</t>
  </si>
  <si>
    <t>FCC1900834</t>
  </si>
  <si>
    <t>F19 247</t>
  </si>
  <si>
    <t>FCC1900837</t>
  </si>
  <si>
    <t>61</t>
  </si>
  <si>
    <t>FCC1900838</t>
  </si>
  <si>
    <t>19.314</t>
  </si>
  <si>
    <t>FCC1900839</t>
  </si>
  <si>
    <t>24</t>
  </si>
  <si>
    <t>FCC1900840</t>
  </si>
  <si>
    <t>201/2019</t>
  </si>
  <si>
    <t>FCC1900843</t>
  </si>
  <si>
    <t>15/2019</t>
  </si>
  <si>
    <t>FCC1900844</t>
  </si>
  <si>
    <t>20190381</t>
  </si>
  <si>
    <t>FCC1900845</t>
  </si>
  <si>
    <t>21190829030000047</t>
  </si>
  <si>
    <t>FCC1900846</t>
  </si>
  <si>
    <t>19M8009</t>
  </si>
  <si>
    <t>FCC1900847</t>
  </si>
  <si>
    <t>2019267</t>
  </si>
  <si>
    <t>FCC1900848</t>
  </si>
  <si>
    <t>291658187490-19</t>
  </si>
  <si>
    <t>FCC1900849</t>
  </si>
  <si>
    <t>315/19/GIP</t>
  </si>
  <si>
    <t>FCC1900850</t>
  </si>
  <si>
    <t>2019/008</t>
  </si>
  <si>
    <t>FCC1900851</t>
  </si>
  <si>
    <t>19613</t>
  </si>
  <si>
    <t>FCC1900852</t>
  </si>
  <si>
    <t>FAC-2019-000231</t>
  </si>
  <si>
    <t>FCC1900853</t>
  </si>
  <si>
    <t>19661</t>
  </si>
  <si>
    <t>FCC1900854</t>
  </si>
  <si>
    <t>A 29172</t>
  </si>
  <si>
    <t>FCC1900855</t>
  </si>
  <si>
    <t>AS18232</t>
  </si>
  <si>
    <t>FCC1900856</t>
  </si>
  <si>
    <t>A42/2019</t>
  </si>
  <si>
    <t>FCC1900857</t>
  </si>
  <si>
    <t>RI/19103637</t>
  </si>
  <si>
    <t>FCC1900858</t>
  </si>
  <si>
    <t>A19271</t>
  </si>
  <si>
    <t>FCC1900859</t>
  </si>
  <si>
    <t>A19272</t>
  </si>
  <si>
    <t>FCC1900860</t>
  </si>
  <si>
    <t>117/19</t>
  </si>
  <si>
    <t>FCC1900861</t>
  </si>
  <si>
    <t>CONTRATO 1061</t>
  </si>
  <si>
    <t>FCC1900862</t>
  </si>
  <si>
    <t>5208197</t>
  </si>
  <si>
    <t>FCC1900864</t>
  </si>
  <si>
    <t>TA6590059980</t>
  </si>
  <si>
    <t>FCC1900865</t>
  </si>
  <si>
    <t>TA65A0058975</t>
  </si>
  <si>
    <t>FCC1900866</t>
  </si>
  <si>
    <t>TA65B0058213</t>
  </si>
  <si>
    <t>FCC1900867</t>
  </si>
  <si>
    <t>FLG A7D95480</t>
  </si>
  <si>
    <t>FCC1900868</t>
  </si>
  <si>
    <t>20190730030000054</t>
  </si>
  <si>
    <t>FCC1900869</t>
  </si>
  <si>
    <t>21190730030000070</t>
  </si>
  <si>
    <t>FCC1900870</t>
  </si>
  <si>
    <t>21190829030000049</t>
  </si>
  <si>
    <t>FCC1900871</t>
  </si>
  <si>
    <t>28-H9M0-053049</t>
  </si>
  <si>
    <t>FCC1900872</t>
  </si>
  <si>
    <t>28-I9M0-095734</t>
  </si>
  <si>
    <t>FCC1900873</t>
  </si>
  <si>
    <t>CONTRATO 853</t>
  </si>
  <si>
    <t>FCC1900874</t>
  </si>
  <si>
    <t>FLL A7E92626</t>
  </si>
  <si>
    <t>FCC1900875</t>
  </si>
  <si>
    <t>FLL A7E20241</t>
  </si>
  <si>
    <t>FCC1900876</t>
  </si>
  <si>
    <t>FLG A7E84386</t>
  </si>
  <si>
    <t>FCC1900877</t>
  </si>
  <si>
    <t>FLG A7E64576</t>
  </si>
  <si>
    <t>FCC1900878</t>
  </si>
  <si>
    <t>FLG A7E44886</t>
  </si>
  <si>
    <t>FCC1900879</t>
  </si>
  <si>
    <t>WS19/46759</t>
  </si>
  <si>
    <t>FCC1900882</t>
  </si>
  <si>
    <t>118/19</t>
  </si>
  <si>
    <t>FCC1900883</t>
  </si>
  <si>
    <t>119/19</t>
  </si>
  <si>
    <t>FCC1900885</t>
  </si>
  <si>
    <t>A 155</t>
  </si>
  <si>
    <t>FCC1900886</t>
  </si>
  <si>
    <t>A 156</t>
  </si>
  <si>
    <t>FCC1900887</t>
  </si>
  <si>
    <t>192.790</t>
  </si>
  <si>
    <t>FCC1900888</t>
  </si>
  <si>
    <t>G-15296</t>
  </si>
  <si>
    <t>FCC1900892</t>
  </si>
  <si>
    <t>11</t>
  </si>
  <si>
    <t>FCC1900893</t>
  </si>
  <si>
    <t>21190927030000052</t>
  </si>
  <si>
    <t>FCC1900894</t>
  </si>
  <si>
    <t>21190927030000050</t>
  </si>
  <si>
    <t>FCC1900895</t>
  </si>
  <si>
    <t>21190927030012337</t>
  </si>
  <si>
    <t>FCC1900896</t>
  </si>
  <si>
    <t>7250156599</t>
  </si>
  <si>
    <t>FCC1900897</t>
  </si>
  <si>
    <t>19-S-4.052</t>
  </si>
  <si>
    <t>FCC1900898</t>
  </si>
  <si>
    <t>7250156600</t>
  </si>
  <si>
    <t>FCC1900901</t>
  </si>
  <si>
    <t>21190927030000070</t>
  </si>
  <si>
    <t>FCC1900902</t>
  </si>
  <si>
    <t>E03008NO97</t>
  </si>
  <si>
    <t>FCC1900903</t>
  </si>
  <si>
    <t>E03008NRFW</t>
  </si>
  <si>
    <t>FCC1900904</t>
  </si>
  <si>
    <t>E03008VL9E</t>
  </si>
  <si>
    <t>FCC1900905</t>
  </si>
  <si>
    <t>E03008VSE1</t>
  </si>
  <si>
    <t>FCC1900906</t>
  </si>
  <si>
    <t>E030093V8M</t>
  </si>
  <si>
    <t>FCC1900907</t>
  </si>
  <si>
    <t>E030093XEA</t>
  </si>
  <si>
    <t>FCC1900912</t>
  </si>
  <si>
    <t>21190927030000053</t>
  </si>
  <si>
    <t>FCC1900913</t>
  </si>
  <si>
    <t>19753</t>
  </si>
  <si>
    <t>FCC1900914</t>
  </si>
  <si>
    <t>25/2019</t>
  </si>
  <si>
    <t>FCC1900915</t>
  </si>
  <si>
    <t>26/2019</t>
  </si>
  <si>
    <t>FCC1900916</t>
  </si>
  <si>
    <t>A-19.145</t>
  </si>
  <si>
    <t>FCC1900917</t>
  </si>
  <si>
    <t>B1916513</t>
  </si>
  <si>
    <t>FCC1900918</t>
  </si>
  <si>
    <t>B1931100</t>
  </si>
  <si>
    <t>FCC1900920</t>
  </si>
  <si>
    <t>B1941305</t>
  </si>
  <si>
    <t>FCC1900921</t>
  </si>
  <si>
    <t>B1942799</t>
  </si>
  <si>
    <t>FCC1900922</t>
  </si>
  <si>
    <t>12019/300941</t>
  </si>
  <si>
    <t>FCC1900923</t>
  </si>
  <si>
    <t>12019/224850</t>
  </si>
  <si>
    <t>FCC1900924</t>
  </si>
  <si>
    <t>01U8ESR</t>
  </si>
  <si>
    <t>FCC1900925</t>
  </si>
  <si>
    <t>2927013</t>
  </si>
  <si>
    <t>FCC1900926</t>
  </si>
  <si>
    <t>01UGTE6</t>
  </si>
  <si>
    <t>FCC1900927</t>
  </si>
  <si>
    <t>01UPHAZ</t>
  </si>
  <si>
    <t>FCC1900928</t>
  </si>
  <si>
    <t>B1943085</t>
  </si>
  <si>
    <t>FCC1900929</t>
  </si>
  <si>
    <t>19706</t>
  </si>
  <si>
    <t>FCC1900930</t>
  </si>
  <si>
    <t>SI2019015952</t>
  </si>
  <si>
    <t>FCC1900931</t>
  </si>
  <si>
    <t>SI2019014642</t>
  </si>
  <si>
    <t>FCC1900932</t>
  </si>
  <si>
    <t>19617</t>
  </si>
  <si>
    <t>FCC1900933</t>
  </si>
  <si>
    <t>1.129/2019</t>
  </si>
  <si>
    <t>FCC1900934</t>
  </si>
  <si>
    <t>5285</t>
  </si>
  <si>
    <t>FCC1900935</t>
  </si>
  <si>
    <t>21190927030016519</t>
  </si>
  <si>
    <t>FCC1900936</t>
  </si>
  <si>
    <t>21190829030016127</t>
  </si>
  <si>
    <t>FCC1900937</t>
  </si>
  <si>
    <t>21190829030016126</t>
  </si>
  <si>
    <t>FCC1900938</t>
  </si>
  <si>
    <t>21190927030016518</t>
  </si>
  <si>
    <t>FCC1900939</t>
  </si>
  <si>
    <t>21190829030016125</t>
  </si>
  <si>
    <t>FCC1900940</t>
  </si>
  <si>
    <t>21190927030016517</t>
  </si>
  <si>
    <t>FCC1900941</t>
  </si>
  <si>
    <t>21190829030005864</t>
  </si>
  <si>
    <t>FCC1900942</t>
  </si>
  <si>
    <t>21190927030006074</t>
  </si>
  <si>
    <t>FCC1900943</t>
  </si>
  <si>
    <t>21190829030010489</t>
  </si>
  <si>
    <t>FCC1900944</t>
  </si>
  <si>
    <t>09190927030005134</t>
  </si>
  <si>
    <t>FCC1900945</t>
  </si>
  <si>
    <t>21190927030000051</t>
  </si>
  <si>
    <t>FCC1900946</t>
  </si>
  <si>
    <t>19018</t>
  </si>
  <si>
    <t>FCC1900947</t>
  </si>
  <si>
    <t>19702</t>
  </si>
  <si>
    <t>FCC1900949</t>
  </si>
  <si>
    <t>190847</t>
  </si>
  <si>
    <t>FCC1900950</t>
  </si>
  <si>
    <t>FI2286</t>
  </si>
  <si>
    <t>FCC1900951</t>
  </si>
  <si>
    <t>621/19</t>
  </si>
  <si>
    <t>FCC1900953</t>
  </si>
  <si>
    <t>336/19/GIP</t>
  </si>
  <si>
    <t>FCC1900954</t>
  </si>
  <si>
    <t>G-15156</t>
  </si>
  <si>
    <t>FCC1900955</t>
  </si>
  <si>
    <t>291658187490-20</t>
  </si>
  <si>
    <t>FCC1900956</t>
  </si>
  <si>
    <t>594/19</t>
  </si>
  <si>
    <t>FCC1900957</t>
  </si>
  <si>
    <t>P19-2537</t>
  </si>
  <si>
    <t>FCC1900960</t>
  </si>
  <si>
    <t>3907965</t>
  </si>
  <si>
    <t>FCC1900961</t>
  </si>
  <si>
    <t>SUFN/1903841</t>
  </si>
  <si>
    <t>FCC1900963</t>
  </si>
  <si>
    <t>16/2019</t>
  </si>
  <si>
    <t>FCC1900966</t>
  </si>
  <si>
    <t>19/193145</t>
  </si>
  <si>
    <t>FCC1900969</t>
  </si>
  <si>
    <t>195004pa00932</t>
  </si>
  <si>
    <t>FCC1900970</t>
  </si>
  <si>
    <t>21190829030000065</t>
  </si>
  <si>
    <t>FCC1900971</t>
  </si>
  <si>
    <t>09190829030005040</t>
  </si>
  <si>
    <t>FCC1900972</t>
  </si>
  <si>
    <t>21190730030011306</t>
  </si>
  <si>
    <t>FCC1900973</t>
  </si>
  <si>
    <t>A6001675421</t>
  </si>
  <si>
    <t>FCC1900974</t>
  </si>
  <si>
    <t>P19-2340</t>
  </si>
  <si>
    <t>FCC1900975</t>
  </si>
  <si>
    <t>0360200922</t>
  </si>
  <si>
    <t>FCC1900976</t>
  </si>
  <si>
    <t>19000343</t>
  </si>
  <si>
    <t>FCC1900977</t>
  </si>
  <si>
    <t>00041154</t>
  </si>
  <si>
    <t>FCC1900978</t>
  </si>
  <si>
    <t>00040615</t>
  </si>
  <si>
    <t>FCC1900979</t>
  </si>
  <si>
    <t>00040092</t>
  </si>
  <si>
    <t>FCC1900980</t>
  </si>
  <si>
    <t>00040083</t>
  </si>
  <si>
    <t>FCC1900981</t>
  </si>
  <si>
    <t>00039765</t>
  </si>
  <si>
    <t>FCC1900983</t>
  </si>
  <si>
    <t>00003170</t>
  </si>
  <si>
    <t>FCC1900984</t>
  </si>
  <si>
    <t>19770</t>
  </si>
  <si>
    <t>FCC1900987</t>
  </si>
  <si>
    <t>2019278</t>
  </si>
  <si>
    <t>FCC1900989</t>
  </si>
  <si>
    <t>GTS 3er TRIM 2019</t>
  </si>
  <si>
    <t>FCC1900990</t>
  </si>
  <si>
    <t>113/C</t>
  </si>
  <si>
    <t>Plazo
 R 
  - Fin Trim</t>
  </si>
  <si>
    <t>PMP</t>
  </si>
  <si>
    <t>capit</t>
  </si>
  <si>
    <t>ponderación 1</t>
  </si>
  <si>
    <t>ponderación 2</t>
  </si>
  <si>
    <t>En plazo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</si>
</sst>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48" xfId="0" applyFont="1" applyFill="1" applyBorder="1" applyAlignment="1">
      <alignment/>
    </xf>
    <xf numFmtId="173" fontId="2" fillId="0" borderId="48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9" fontId="36" fillId="0" borderId="0" xfId="58" applyNumberFormat="1">
      <alignment/>
      <protection/>
    </xf>
    <xf numFmtId="14" fontId="36" fillId="0" borderId="0" xfId="58" applyNumberFormat="1">
      <alignment/>
      <protection/>
    </xf>
    <xf numFmtId="4" fontId="36" fillId="0" borderId="0" xfId="58" applyNumberFormat="1">
      <alignment/>
      <protection/>
    </xf>
    <xf numFmtId="173" fontId="35" fillId="0" borderId="0" xfId="0" applyNumberFormat="1" applyFont="1" applyAlignment="1">
      <alignment/>
    </xf>
    <xf numFmtId="49" fontId="36" fillId="0" borderId="0" xfId="58" applyNumberFormat="1">
      <alignment/>
      <protection/>
    </xf>
    <xf numFmtId="14" fontId="36" fillId="0" borderId="0" xfId="58" applyNumberFormat="1">
      <alignment/>
      <protection/>
    </xf>
    <xf numFmtId="49" fontId="36" fillId="0" borderId="0" xfId="58" applyNumberFormat="1">
      <alignment/>
      <protection/>
    </xf>
    <xf numFmtId="0" fontId="36" fillId="0" borderId="0" xfId="58">
      <alignment/>
      <protection/>
    </xf>
    <xf numFmtId="14" fontId="36" fillId="0" borderId="0" xfId="58" applyNumberFormat="1">
      <alignment/>
      <protection/>
    </xf>
    <xf numFmtId="173" fontId="3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36" fillId="0" borderId="0" xfId="58" applyNumberFormat="1">
      <alignment/>
      <protection/>
    </xf>
    <xf numFmtId="14" fontId="36" fillId="0" borderId="0" xfId="58" applyNumberFormat="1">
      <alignment/>
      <protection/>
    </xf>
    <xf numFmtId="49" fontId="36" fillId="0" borderId="0" xfId="58" applyNumberFormat="1">
      <alignment/>
      <protection/>
    </xf>
    <xf numFmtId="4" fontId="36" fillId="0" borderId="0" xfId="58" applyNumberFormat="1">
      <alignment/>
      <protection/>
    </xf>
    <xf numFmtId="14" fontId="36" fillId="0" borderId="0" xfId="58" applyNumberFormat="1">
      <alignment/>
      <protection/>
    </xf>
    <xf numFmtId="2" fontId="9" fillId="0" borderId="19" xfId="0" applyNumberFormat="1" applyFont="1" applyBorder="1" applyAlignment="1">
      <alignment horizontal="center"/>
    </xf>
    <xf numFmtId="0" fontId="12" fillId="42" borderId="49" xfId="0" applyFont="1" applyFill="1" applyBorder="1" applyAlignment="1">
      <alignment horizontal="center"/>
    </xf>
    <xf numFmtId="0" fontId="12" fillId="42" borderId="50" xfId="0" applyFont="1" applyFill="1" applyBorder="1" applyAlignment="1">
      <alignment horizontal="center"/>
    </xf>
    <xf numFmtId="0" fontId="12" fillId="42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1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/>
    </xf>
    <xf numFmtId="0" fontId="4" fillId="37" borderId="56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7" xfId="0" applyFont="1" applyFill="1" applyBorder="1" applyAlignment="1">
      <alignment horizontal="right"/>
    </xf>
    <xf numFmtId="0" fontId="4" fillId="38" borderId="58" xfId="0" applyFont="1" applyFill="1" applyBorder="1" applyAlignment="1">
      <alignment horizontal="right"/>
    </xf>
    <xf numFmtId="0" fontId="4" fillId="37" borderId="59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60" xfId="0" applyFont="1" applyFill="1" applyBorder="1" applyAlignment="1">
      <alignment/>
    </xf>
    <xf numFmtId="0" fontId="4" fillId="43" borderId="61" xfId="0" applyFont="1" applyFill="1" applyBorder="1" applyAlignment="1">
      <alignment horizontal="right"/>
    </xf>
    <xf numFmtId="0" fontId="4" fillId="43" borderId="62" xfId="0" applyFont="1" applyFill="1" applyBorder="1" applyAlignment="1">
      <alignment horizontal="right"/>
    </xf>
    <xf numFmtId="0" fontId="4" fillId="43" borderId="63" xfId="0" applyFont="1" applyFill="1" applyBorder="1" applyAlignment="1">
      <alignment horizontal="right"/>
    </xf>
    <xf numFmtId="0" fontId="4" fillId="38" borderId="64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65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43" borderId="66" xfId="0" applyFont="1" applyFill="1" applyBorder="1" applyAlignment="1">
      <alignment horizontal="right"/>
    </xf>
    <xf numFmtId="0" fontId="4" fillId="43" borderId="34" xfId="0" applyFont="1" applyFill="1" applyBorder="1" applyAlignment="1">
      <alignment horizontal="right"/>
    </xf>
    <xf numFmtId="0" fontId="4" fillId="43" borderId="67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3" borderId="69" xfId="0" applyFont="1" applyFill="1" applyBorder="1" applyAlignment="1">
      <alignment horizontal="right"/>
    </xf>
    <xf numFmtId="0" fontId="4" fillId="43" borderId="32" xfId="0" applyFont="1" applyFill="1" applyBorder="1" applyAlignment="1">
      <alignment horizontal="right"/>
    </xf>
    <xf numFmtId="0" fontId="4" fillId="43" borderId="30" xfId="0" applyFont="1" applyFill="1" applyBorder="1" applyAlignment="1">
      <alignment horizontal="right"/>
    </xf>
    <xf numFmtId="0" fontId="2" fillId="40" borderId="70" xfId="0" applyFont="1" applyFill="1" applyBorder="1" applyAlignment="1">
      <alignment horizontal="left" vertical="top" wrapText="1"/>
    </xf>
    <xf numFmtId="0" fontId="2" fillId="40" borderId="71" xfId="0" applyFont="1" applyFill="1" applyBorder="1" applyAlignment="1">
      <alignment horizontal="left" vertical="top" wrapText="1"/>
    </xf>
    <xf numFmtId="0" fontId="4" fillId="43" borderId="72" xfId="0" applyFont="1" applyFill="1" applyBorder="1" applyAlignment="1">
      <alignment horizontal="right"/>
    </xf>
    <xf numFmtId="0" fontId="4" fillId="43" borderId="73" xfId="0" applyFont="1" applyFill="1" applyBorder="1" applyAlignment="1">
      <alignment horizontal="right"/>
    </xf>
    <xf numFmtId="0" fontId="4" fillId="43" borderId="74" xfId="0" applyFont="1" applyFill="1" applyBorder="1" applyAlignment="1">
      <alignment horizontal="right"/>
    </xf>
    <xf numFmtId="0" fontId="4" fillId="37" borderId="51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4" xfId="0" applyFont="1" applyBorder="1" applyAlignment="1">
      <alignment/>
    </xf>
    <xf numFmtId="0" fontId="4" fillId="37" borderId="75" xfId="0" applyFont="1" applyFill="1" applyBorder="1" applyAlignment="1">
      <alignment horizontal="center" wrapText="1"/>
    </xf>
    <xf numFmtId="0" fontId="2" fillId="0" borderId="76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37" borderId="78" xfId="0" applyFont="1" applyFill="1" applyBorder="1" applyAlignment="1">
      <alignment horizontal="center" wrapText="1"/>
    </xf>
    <xf numFmtId="0" fontId="4" fillId="37" borderId="59" xfId="0" applyFont="1" applyFill="1" applyBorder="1" applyAlignment="1">
      <alignment horizontal="center" wrapText="1"/>
    </xf>
    <xf numFmtId="173" fontId="2" fillId="0" borderId="79" xfId="0" applyNumberFormat="1" applyFont="1" applyBorder="1" applyAlignment="1">
      <alignment horizontal="left"/>
    </xf>
    <xf numFmtId="173" fontId="2" fillId="0" borderId="8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Oharra" xfId="60"/>
    <cellStyle name="Ohar-testua" xfId="61"/>
    <cellStyle name="Ondo" xfId="62"/>
    <cellStyle name="Sarrera" xfId="63"/>
    <cellStyle name="Titulua" xfId="64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64">
      <selection activeCell="H90" sqref="H90"/>
    </sheetView>
  </sheetViews>
  <sheetFormatPr defaultColWidth="9.140625" defaultRowHeight="12.75" customHeight="1"/>
  <cols>
    <col min="1" max="1" width="3.140625" style="2" customWidth="1"/>
    <col min="2" max="2" width="6.140625" style="2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37" t="e">
        <f>SUMSQ(D27:I27,D39:F40,D59:I59,D72:F72,D82:F83,E91:H91)</f>
        <v>#DIV/0!</v>
      </c>
      <c r="B1" s="137"/>
    </row>
    <row r="2" spans="1:9" s="43" customFormat="1" ht="15.75" customHeight="1">
      <c r="A2" s="138" t="s">
        <v>21</v>
      </c>
      <c r="B2" s="139"/>
      <c r="C2" s="139"/>
      <c r="D2" s="139"/>
      <c r="E2" s="139"/>
      <c r="F2" s="139"/>
      <c r="G2" s="139"/>
      <c r="H2" s="139"/>
      <c r="I2" s="140"/>
    </row>
    <row r="3" spans="1:9" s="43" customFormat="1" ht="15.75" customHeight="1">
      <c r="A3" s="44"/>
      <c r="B3" s="45"/>
      <c r="C3" s="46" t="s">
        <v>4</v>
      </c>
      <c r="D3" s="141" t="s">
        <v>108</v>
      </c>
      <c r="E3" s="141"/>
      <c r="F3" s="141"/>
      <c r="G3" s="141"/>
      <c r="H3" s="45"/>
      <c r="I3" s="47"/>
    </row>
    <row r="4" spans="1:9" s="43" customFormat="1" ht="15.75" customHeight="1">
      <c r="A4" s="44"/>
      <c r="B4" s="45"/>
      <c r="C4" s="48" t="s">
        <v>5</v>
      </c>
      <c r="D4" s="49">
        <v>2019</v>
      </c>
      <c r="E4" s="50"/>
      <c r="F4" s="45"/>
      <c r="G4" s="45"/>
      <c r="H4" s="45"/>
      <c r="I4" s="47"/>
    </row>
    <row r="5" spans="1:9" s="43" customFormat="1" ht="15.75" customHeight="1">
      <c r="A5" s="51"/>
      <c r="B5" s="52"/>
      <c r="C5" s="53" t="s">
        <v>6</v>
      </c>
      <c r="D5" s="54">
        <v>3</v>
      </c>
      <c r="E5" s="55"/>
      <c r="F5" s="52"/>
      <c r="G5" s="52"/>
      <c r="H5" s="52"/>
      <c r="I5" s="56"/>
    </row>
    <row r="6" spans="1:9" ht="12.75" customHeight="1">
      <c r="A6" s="20"/>
      <c r="B6" s="20"/>
      <c r="C6" s="21"/>
      <c r="D6" s="22"/>
      <c r="E6" s="22"/>
      <c r="F6" s="20"/>
      <c r="G6" s="20"/>
      <c r="H6" s="20"/>
      <c r="I6" s="20"/>
    </row>
    <row r="7" spans="1:9" ht="12.75" customHeight="1">
      <c r="A7" s="20"/>
      <c r="B7" s="20"/>
      <c r="C7" s="21"/>
      <c r="D7" s="22"/>
      <c r="E7" s="22"/>
      <c r="F7" s="20"/>
      <c r="G7" s="20"/>
      <c r="H7" s="20"/>
      <c r="I7" s="20"/>
    </row>
    <row r="9" s="43" customFormat="1" ht="15.75">
      <c r="A9" s="42" t="s">
        <v>28</v>
      </c>
    </row>
    <row r="10" ht="12.75" customHeight="1">
      <c r="A10" s="4"/>
    </row>
    <row r="11" ht="12.75" customHeight="1">
      <c r="A11" s="4"/>
    </row>
    <row r="12" s="19" customFormat="1" ht="13.5" thickBot="1">
      <c r="A12" s="1" t="s">
        <v>29</v>
      </c>
    </row>
    <row r="13" spans="1:9" ht="12.75" customHeight="1">
      <c r="A13" s="142" t="s">
        <v>22</v>
      </c>
      <c r="B13" s="143"/>
      <c r="C13" s="144"/>
      <c r="D13" s="148" t="s">
        <v>33</v>
      </c>
      <c r="E13" s="149"/>
      <c r="F13" s="150" t="s">
        <v>14</v>
      </c>
      <c r="G13" s="151"/>
      <c r="H13" s="151"/>
      <c r="I13" s="152"/>
    </row>
    <row r="14" spans="1:9" ht="12.75" customHeight="1">
      <c r="A14" s="145"/>
      <c r="B14" s="146"/>
      <c r="C14" s="147"/>
      <c r="D14" s="153" t="s">
        <v>46</v>
      </c>
      <c r="E14" s="154"/>
      <c r="F14" s="155" t="s">
        <v>35</v>
      </c>
      <c r="G14" s="156"/>
      <c r="H14" s="156" t="s">
        <v>36</v>
      </c>
      <c r="I14" s="157"/>
    </row>
    <row r="15" spans="1:9" ht="22.5">
      <c r="A15" s="145"/>
      <c r="B15" s="146"/>
      <c r="C15" s="147"/>
      <c r="D15" s="64" t="s">
        <v>11</v>
      </c>
      <c r="E15" s="24" t="s">
        <v>34</v>
      </c>
      <c r="F15" s="61" t="s">
        <v>12</v>
      </c>
      <c r="G15" s="23" t="s">
        <v>13</v>
      </c>
      <c r="H15" s="23" t="s">
        <v>12</v>
      </c>
      <c r="I15" s="75" t="s">
        <v>13</v>
      </c>
    </row>
    <row r="16" spans="1:9" ht="12.75" customHeight="1">
      <c r="A16" s="158" t="s">
        <v>18</v>
      </c>
      <c r="B16" s="159"/>
      <c r="C16" s="159"/>
      <c r="D16" s="65">
        <f>IF(G16+I16=0,0,(D17*(G17+I17)+D18*(G18+I18)+D19*(G19+I19)+D20*(G20+I20)+D21*(G21+I21))/(G16+I16))</f>
        <v>0</v>
      </c>
      <c r="E16" s="66">
        <f>IF(I16=0,0,(E17*I17+E18*I18+E19*I19+E20*I20+E21*I21)/I16)</f>
        <v>0</v>
      </c>
      <c r="F16" s="62">
        <f>SUM(F17:F21)</f>
        <v>172</v>
      </c>
      <c r="G16" s="25">
        <f>SUM(G17:G21)</f>
        <v>147454.11999999997</v>
      </c>
      <c r="H16" s="26">
        <f>SUM(H17:H21)</f>
        <v>0</v>
      </c>
      <c r="I16" s="96">
        <f>SUM(I17:I21)</f>
        <v>0</v>
      </c>
    </row>
    <row r="17" spans="1:9" ht="12.75" customHeight="1">
      <c r="A17" s="99"/>
      <c r="B17" s="100" t="s">
        <v>0</v>
      </c>
      <c r="C17" s="20" t="s">
        <v>7</v>
      </c>
      <c r="D17" s="67">
        <f>IF(F17+H17=0,0,SUMIF(xehet1!S:S,20,xehet1!T:T)/SUMIF(xehet1!S:S,20,xehet1!D:D))</f>
        <v>0</v>
      </c>
      <c r="E17" s="39">
        <f>IF(H17=0,0,SUMIF(xehet1!V:V,220,xehet1!T:T)/SUMIF(xehet1!V:V,220,xehet1!D:D))</f>
        <v>0</v>
      </c>
      <c r="F17" s="40">
        <f>COUNTIF(xehet1!V:V,120)</f>
        <v>10</v>
      </c>
      <c r="G17" s="27">
        <f>SUMIF(xehet1!V:V,120,xehet1!D:D)</f>
        <v>3683.0299999999997</v>
      </c>
      <c r="H17" s="28">
        <f>COUNTIF(xehet1!V:V,220)</f>
        <v>0</v>
      </c>
      <c r="I17" s="86">
        <f>SUMIF(xehet1!V:V,220,xehet1!D:D)</f>
        <v>0</v>
      </c>
    </row>
    <row r="18" spans="1:9" ht="12.75" customHeight="1">
      <c r="A18" s="99"/>
      <c r="B18" s="100" t="s">
        <v>1</v>
      </c>
      <c r="C18" s="20" t="s">
        <v>19</v>
      </c>
      <c r="D18" s="67">
        <f>IF(F18+H18=0,0,SUMIF(xehet1!S:S,21,xehet1!T:T)/SUMIF(xehet1!S:S,21,xehet1!D:D))</f>
        <v>0</v>
      </c>
      <c r="E18" s="39">
        <f>IF(H18=0,0,SUMIF(xehet1!V:V,221,xehet1!T:T)/SUMIF(xehet1!V:V,221,xehet1!D:D))</f>
        <v>0</v>
      </c>
      <c r="F18" s="40">
        <f>COUNTIF(xehet1!V:V,121)</f>
        <v>35</v>
      </c>
      <c r="G18" s="27">
        <f>SUMIF(xehet1!V:V,121,xehet1!D:D)</f>
        <v>12505.05</v>
      </c>
      <c r="H18" s="28">
        <f>COUNTIF(xehet1!V:V,221)</f>
        <v>0</v>
      </c>
      <c r="I18" s="86">
        <f>SUMIF(xehet1!V:V,221,xehet1!D:D)</f>
        <v>0</v>
      </c>
    </row>
    <row r="19" spans="1:9" ht="12.75" customHeight="1">
      <c r="A19" s="99"/>
      <c r="B19" s="100" t="s">
        <v>2</v>
      </c>
      <c r="C19" s="20" t="s">
        <v>8</v>
      </c>
      <c r="D19" s="67">
        <f>IF(F19+H19=0,0,SUMIF(xehet1!S:S,22,xehet1!T:T)/SUMIF(xehet1!S:S,22,xehet1!D:D))</f>
        <v>0</v>
      </c>
      <c r="E19" s="39">
        <f>IF(H19=0,0,SUMIF(xehet1!V:V,222,xehet1!T:T)/SUMIF(xehet1!V:V,222,xehet1!D:D))</f>
        <v>0</v>
      </c>
      <c r="F19" s="40">
        <f>COUNTIF(xehet1!V:V,122)</f>
        <v>9</v>
      </c>
      <c r="G19" s="27">
        <f>SUMIF(xehet1!V:V,122,xehet1!D:D)</f>
        <v>49565.16000000001</v>
      </c>
      <c r="H19" s="28">
        <f>COUNTIF(xehet1!V:V,222)</f>
        <v>0</v>
      </c>
      <c r="I19" s="86">
        <f>SUMIF(xehet1!V:V,222,xehet1!D:D)</f>
        <v>0</v>
      </c>
    </row>
    <row r="20" spans="1:9" ht="12.75" customHeight="1">
      <c r="A20" s="99"/>
      <c r="B20" s="100" t="s">
        <v>3</v>
      </c>
      <c r="C20" s="20" t="s">
        <v>9</v>
      </c>
      <c r="D20" s="67">
        <f>IF(F20+H20=0,0,SUMIF(xehet1!S:S,23,xehet1!T:T)/SUMIF(xehet1!S:S,23,xehet1!D:D))</f>
        <v>0</v>
      </c>
      <c r="E20" s="39">
        <f>IF(H20=0,0,SUMIF(xehet1!V:V,223,xehet1!T:T)/SUMIF(xehet1!V:V,223,xehet1!D:D))</f>
        <v>0</v>
      </c>
      <c r="F20" s="40">
        <f>COUNTIF(xehet1!V:V,123)</f>
        <v>0</v>
      </c>
      <c r="G20" s="27">
        <f>SUMIF(xehet1!V:V,123,xehet1!D:D)</f>
        <v>0</v>
      </c>
      <c r="H20" s="28">
        <f>COUNTIF(xehet1!V:V,223)</f>
        <v>0</v>
      </c>
      <c r="I20" s="86">
        <f>SUMIF(xehet1!V:V,223,xehet1!D:D)</f>
        <v>0</v>
      </c>
    </row>
    <row r="21" spans="1:9" ht="12.75" customHeight="1">
      <c r="A21" s="99"/>
      <c r="B21" s="100" t="s">
        <v>24</v>
      </c>
      <c r="C21" s="20" t="s">
        <v>23</v>
      </c>
      <c r="D21" s="67">
        <f>IF(F21+H21=0,0,SUMIF(xehet1!S:S,29,xehet1!T:T)/SUMIF(xehet1!S:S,29,xehet1!D:D))</f>
        <v>0</v>
      </c>
      <c r="E21" s="39">
        <f>IF(H21=0,0,SUMIF(xehet1!V:V,229,xehet1!T:T)/SUMIF(xehet1!V:V,229,xehet1!D:D))</f>
        <v>0</v>
      </c>
      <c r="F21" s="40">
        <f>COUNTIF(xehet1!V:V,129)</f>
        <v>118</v>
      </c>
      <c r="G21" s="27">
        <f>SUMIF(xehet1!V:V,129,xehet1!D:D)</f>
        <v>81700.87999999996</v>
      </c>
      <c r="H21" s="28">
        <f>COUNTIF(xehet1!V:V,229)</f>
        <v>0</v>
      </c>
      <c r="I21" s="86">
        <f>SUMIF(xehet1!V:V,229,xehet1!D:D)</f>
        <v>0</v>
      </c>
    </row>
    <row r="22" spans="1:9" ht="12.75" customHeight="1">
      <c r="A22" s="158" t="s">
        <v>10</v>
      </c>
      <c r="B22" s="159"/>
      <c r="C22" s="159"/>
      <c r="D22" s="65">
        <f aca="true" t="shared" si="0" ref="D22:I22">D23</f>
        <v>0</v>
      </c>
      <c r="E22" s="66">
        <f t="shared" si="0"/>
        <v>0</v>
      </c>
      <c r="F22" s="63">
        <f t="shared" si="0"/>
        <v>9</v>
      </c>
      <c r="G22" s="30">
        <f t="shared" si="0"/>
        <v>15235.06</v>
      </c>
      <c r="H22" s="29">
        <f t="shared" si="0"/>
        <v>0</v>
      </c>
      <c r="I22" s="96">
        <f t="shared" si="0"/>
        <v>0</v>
      </c>
    </row>
    <row r="23" spans="1:9" ht="12.75" customHeight="1">
      <c r="A23" s="99"/>
      <c r="B23" s="101" t="s">
        <v>26</v>
      </c>
      <c r="C23" s="102" t="s">
        <v>27</v>
      </c>
      <c r="D23" s="67">
        <f>IF(F23+H23=0,0,SUMIF(xehet1!S:S,69,xehet1!T:T)/SUMIF(xehet1!S:S,69,xehet1!D:D))</f>
        <v>0</v>
      </c>
      <c r="E23" s="39">
        <f>IF(H23=0,0,SUMIF(xehet1!V:V,269,xehet1!T:T)/SUMIF(xehet1!V:V,269,xehet1!D:D))</f>
        <v>0</v>
      </c>
      <c r="F23" s="40">
        <f>COUNTIF(xehet1!V:V,169)</f>
        <v>9</v>
      </c>
      <c r="G23" s="27">
        <f>SUMIF(xehet1!V:V,169,xehet1!D:D)</f>
        <v>15235.06</v>
      </c>
      <c r="H23" s="28">
        <f>COUNTIF(xehet1!V:V,269)</f>
        <v>0</v>
      </c>
      <c r="I23" s="86">
        <f>SUMIF(xehet1!V:V,269,xehet1!D:D)</f>
        <v>0</v>
      </c>
    </row>
    <row r="24" spans="1:9" ht="12.75" customHeight="1">
      <c r="A24" s="158" t="s">
        <v>66</v>
      </c>
      <c r="B24" s="159"/>
      <c r="C24" s="159"/>
      <c r="D24" s="65">
        <f aca="true" t="shared" si="1" ref="D24:I24">D25</f>
        <v>0</v>
      </c>
      <c r="E24" s="66">
        <f t="shared" si="1"/>
        <v>0</v>
      </c>
      <c r="F24" s="63">
        <f t="shared" si="1"/>
        <v>0</v>
      </c>
      <c r="G24" s="30">
        <f t="shared" si="1"/>
        <v>0</v>
      </c>
      <c r="H24" s="29">
        <f t="shared" si="1"/>
        <v>0</v>
      </c>
      <c r="I24" s="96">
        <f t="shared" si="1"/>
        <v>0</v>
      </c>
    </row>
    <row r="25" spans="1:9" ht="12.75" customHeight="1">
      <c r="A25" s="99"/>
      <c r="B25" s="160" t="s">
        <v>25</v>
      </c>
      <c r="C25" s="160"/>
      <c r="D25" s="107"/>
      <c r="E25" s="108"/>
      <c r="F25" s="109"/>
      <c r="G25" s="110"/>
      <c r="H25" s="111"/>
      <c r="I25" s="112"/>
    </row>
    <row r="26" spans="1:9" ht="12.75" customHeight="1" thickBot="1">
      <c r="A26" s="161" t="s">
        <v>11</v>
      </c>
      <c r="B26" s="162"/>
      <c r="C26" s="162"/>
      <c r="D26" s="76">
        <f>IF(G26+I26=0,0,(D16*(G16+I16)+D22*(G22+I22)+D24*(G24+I24))/(G26+I26))</f>
        <v>0</v>
      </c>
      <c r="E26" s="77">
        <f>IF(I26=0,0,(E16*I16+E22*I22+E24*I24)/I26)</f>
        <v>0</v>
      </c>
      <c r="F26" s="78">
        <f>F16+F22+F24</f>
        <v>181</v>
      </c>
      <c r="G26" s="79">
        <f>G16+G22+G24</f>
        <v>162689.17999999996</v>
      </c>
      <c r="H26" s="80">
        <f>H16+H22+H24</f>
        <v>0</v>
      </c>
      <c r="I26" s="83">
        <f>I16+I22+I24</f>
        <v>0</v>
      </c>
    </row>
    <row r="27" spans="1:9" ht="12.75" customHeight="1">
      <c r="A27" s="2" t="s">
        <v>68</v>
      </c>
      <c r="D27" s="73">
        <f>IF(SUM(xehet1!D:D)=0,0,SUM(xehet1!T:T)/SUM(xehet1!D:D))-IF((G16+I16+G22+I22)=0,0,(D16*(G16+I16)+D22*(G22+I22))/(G16+I16+G22+I22))</f>
        <v>0</v>
      </c>
      <c r="E27" s="73">
        <f>IF(SUMIF(xehet1!V:V,"&gt;199",xehet1!D:D)=0,0,SUMIF(xehet1!V:V,"&gt;199",xehet1!T:T)/SUMIF(xehet1!V:V,"&gt;199",xehet1!D:D))-IF(I16+I22=0,0,(E16*I16+E22*I22)/(I16+I22))</f>
        <v>0</v>
      </c>
      <c r="F27" s="73">
        <f>COUNTIF(xehet1!P:P,"&lt;=30")-F26+F25</f>
        <v>6</v>
      </c>
      <c r="G27" s="73">
        <f>SUMIF(xehet1!P:P,"&lt;=30",xehet1!D:D)-G26+G25</f>
        <v>1249.1600000000035</v>
      </c>
      <c r="H27" s="73">
        <f>COUNTIF(xehet1!P:P,"&gt;30")-H26+H25</f>
        <v>0</v>
      </c>
      <c r="I27" s="73">
        <f>SUMIF(xehet1!P:P,"&gt;30",xehet1!D:D)-I26+I25</f>
        <v>0</v>
      </c>
    </row>
    <row r="28" spans="4:9" ht="12.75" customHeight="1">
      <c r="D28" s="35"/>
      <c r="E28" s="35"/>
      <c r="F28" s="35"/>
      <c r="G28" s="35"/>
      <c r="H28" s="35"/>
      <c r="I28" s="35"/>
    </row>
    <row r="29" spans="4:9" ht="12.75" customHeight="1">
      <c r="D29" s="35"/>
      <c r="E29" s="35"/>
      <c r="F29" s="35"/>
      <c r="G29" s="35"/>
      <c r="H29" s="35"/>
      <c r="I29" s="35"/>
    </row>
    <row r="30" ht="13.5" thickBot="1">
      <c r="A30" s="1" t="s">
        <v>30</v>
      </c>
    </row>
    <row r="31" spans="1:7" ht="12.75" customHeight="1">
      <c r="A31" s="142" t="s">
        <v>56</v>
      </c>
      <c r="B31" s="143"/>
      <c r="C31" s="163"/>
      <c r="D31" s="165" t="s">
        <v>57</v>
      </c>
      <c r="E31" s="166"/>
      <c r="F31" s="166"/>
      <c r="G31" s="167"/>
    </row>
    <row r="32" spans="1:7" ht="12.75" customHeight="1">
      <c r="A32" s="145"/>
      <c r="B32" s="146"/>
      <c r="C32" s="164"/>
      <c r="D32" s="61" t="s">
        <v>58</v>
      </c>
      <c r="E32" s="23" t="s">
        <v>59</v>
      </c>
      <c r="F32" s="23" t="s">
        <v>13</v>
      </c>
      <c r="G32" s="75" t="s">
        <v>59</v>
      </c>
    </row>
    <row r="33" spans="1:7" ht="12.75" customHeight="1">
      <c r="A33" s="99"/>
      <c r="B33" s="168" t="s">
        <v>39</v>
      </c>
      <c r="C33" s="169"/>
      <c r="D33" s="71">
        <f>COUNTIF(xehet1!P:P,"&lt;=30")+F25</f>
        <v>187</v>
      </c>
      <c r="E33" s="33">
        <f>IF($D$38=0,0,D33*100/$D$38)</f>
        <v>100</v>
      </c>
      <c r="F33" s="33">
        <f>SUMIF(xehet1!P:P,"&lt;=30",xehet1!D:D)+G25</f>
        <v>163938.33999999997</v>
      </c>
      <c r="G33" s="113">
        <f>IF($F$38=0,0,F33*100/$F$38)</f>
        <v>100</v>
      </c>
    </row>
    <row r="34" spans="1:7" ht="12.75" customHeight="1">
      <c r="A34" s="99"/>
      <c r="B34" s="170" t="s">
        <v>60</v>
      </c>
      <c r="C34" s="171"/>
      <c r="D34" s="72">
        <f>COUNTIF(xehet1!P:P,"&lt;=40")-D33+F25+IF(AND(E25&gt;30,E25&lt;=40),H25)</f>
        <v>0</v>
      </c>
      <c r="E34" s="27">
        <f>IF($D$38=0,0,D34*100/$D$38)</f>
        <v>0</v>
      </c>
      <c r="F34" s="27">
        <f>SUMIF(xehet1!P:P,"&lt;=40",xehet1!D:D)-F33+G25+IF(AND(E25&gt;30,E25&lt;=40),I25)</f>
        <v>0</v>
      </c>
      <c r="G34" s="86">
        <f>IF($F$38=0,0,F34*100/$F$38)</f>
        <v>0</v>
      </c>
    </row>
    <row r="35" spans="1:7" ht="12.75" customHeight="1">
      <c r="A35" s="99"/>
      <c r="B35" s="103" t="s">
        <v>61</v>
      </c>
      <c r="C35" s="104"/>
      <c r="D35" s="72">
        <f>COUNTIF(xehet1!P:P,"&lt;=50")-SUM(D33:D34)+F25+IF(E25&lt;=50,H25)</f>
        <v>0</v>
      </c>
      <c r="E35" s="27">
        <f>IF($D$38=0,0,D35*100/$D$38)</f>
        <v>0</v>
      </c>
      <c r="F35" s="27">
        <f>SUMIF(xehet1!P:P,"&lt;=50",xehet1!D:D)-SUM(F33:F34)+G25+IF(E25&lt;=50,I25)</f>
        <v>0</v>
      </c>
      <c r="G35" s="86">
        <f>IF($F$38=0,0,F35*100/$F$38)</f>
        <v>0</v>
      </c>
    </row>
    <row r="36" spans="1:7" ht="12.75" customHeight="1">
      <c r="A36" s="99"/>
      <c r="B36" s="168" t="s">
        <v>62</v>
      </c>
      <c r="C36" s="169"/>
      <c r="D36" s="72">
        <f>COUNTIF(xehet1!P:P,"&lt;=60")-SUM(D33:D35)+F25+IF(E25&lt;=60,H25)</f>
        <v>0</v>
      </c>
      <c r="E36" s="27">
        <f>IF($D$38=0,0,D36*100/$D$38)</f>
        <v>0</v>
      </c>
      <c r="F36" s="27">
        <f>SUMIF(xehet1!P:P,"&lt;=60",xehet1!D:D)-SUM(F33:F35)+G25+IF(E25&lt;=60,I25)</f>
        <v>0</v>
      </c>
      <c r="G36" s="86">
        <f>IF($F$38=0,0,F36*100/$F$38)</f>
        <v>0</v>
      </c>
    </row>
    <row r="37" spans="1:7" ht="12.75" customHeight="1">
      <c r="A37" s="105"/>
      <c r="B37" s="160" t="s">
        <v>63</v>
      </c>
      <c r="C37" s="172"/>
      <c r="D37" s="95">
        <f>COUNTIF(xehet1!P:P,"&gt;60")+IF(E25&gt;60,H25)</f>
        <v>0</v>
      </c>
      <c r="E37" s="27">
        <f>IF($D$38=0,0,D37*100/$D$38)</f>
        <v>0</v>
      </c>
      <c r="F37" s="31">
        <f>SUMIF(xehet1!P:P,"&gt;60",xehet1!D:D)+IF(E25&gt;60,I25)</f>
        <v>0</v>
      </c>
      <c r="G37" s="86">
        <f>IF($F$38=0,0,F37*100/$F$38)</f>
        <v>0</v>
      </c>
    </row>
    <row r="38" spans="1:7" ht="12.75" customHeight="1" thickBot="1">
      <c r="A38" s="173" t="s">
        <v>11</v>
      </c>
      <c r="B38" s="174"/>
      <c r="C38" s="175"/>
      <c r="D38" s="81">
        <f>SUM(D33:D37)</f>
        <v>187</v>
      </c>
      <c r="E38" s="82">
        <f>SUM(E33:E37)</f>
        <v>100</v>
      </c>
      <c r="F38" s="82">
        <f>SUM(F33:F37)</f>
        <v>163938.33999999997</v>
      </c>
      <c r="G38" s="83">
        <f>SUM(G33:G37)</f>
        <v>100</v>
      </c>
    </row>
    <row r="39" spans="1:6" ht="12.75" customHeight="1">
      <c r="A39" s="34"/>
      <c r="B39" s="34"/>
      <c r="C39" s="34"/>
      <c r="D39" s="73"/>
      <c r="E39" s="73"/>
      <c r="F39" s="73"/>
    </row>
    <row r="40" spans="1:6" ht="12.75" customHeight="1">
      <c r="A40" s="34"/>
      <c r="B40" s="34"/>
      <c r="C40" s="34"/>
      <c r="D40" s="73">
        <f>F26+H26-D38</f>
        <v>-6</v>
      </c>
      <c r="E40" s="73"/>
      <c r="F40" s="73">
        <f>G26+I26-F38</f>
        <v>-1249.1600000000035</v>
      </c>
    </row>
    <row r="41" spans="1:6" ht="12.75" customHeight="1">
      <c r="A41" s="34"/>
      <c r="B41" s="34"/>
      <c r="C41" s="34"/>
      <c r="D41" s="20"/>
      <c r="E41" s="20"/>
      <c r="F41" s="35"/>
    </row>
    <row r="42" s="43" customFormat="1" ht="15.75">
      <c r="A42" s="42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42" t="s">
        <v>32</v>
      </c>
      <c r="B45" s="143"/>
      <c r="C45" s="144"/>
      <c r="D45" s="148" t="s">
        <v>43</v>
      </c>
      <c r="E45" s="149"/>
      <c r="F45" s="150" t="s">
        <v>16</v>
      </c>
      <c r="G45" s="151"/>
      <c r="H45" s="151"/>
      <c r="I45" s="152"/>
    </row>
    <row r="46" spans="1:9" ht="12.75" customHeight="1">
      <c r="A46" s="145"/>
      <c r="B46" s="146"/>
      <c r="C46" s="147"/>
      <c r="D46" s="153" t="s">
        <v>46</v>
      </c>
      <c r="E46" s="154"/>
      <c r="F46" s="155" t="s">
        <v>35</v>
      </c>
      <c r="G46" s="156"/>
      <c r="H46" s="156" t="s">
        <v>36</v>
      </c>
      <c r="I46" s="157"/>
    </row>
    <row r="47" spans="1:9" ht="22.5">
      <c r="A47" s="145"/>
      <c r="B47" s="146"/>
      <c r="C47" s="147"/>
      <c r="D47" s="64" t="s">
        <v>11</v>
      </c>
      <c r="E47" s="24" t="s">
        <v>34</v>
      </c>
      <c r="F47" s="61" t="s">
        <v>15</v>
      </c>
      <c r="G47" s="23" t="s">
        <v>13</v>
      </c>
      <c r="H47" s="23" t="s">
        <v>15</v>
      </c>
      <c r="I47" s="75" t="s">
        <v>13</v>
      </c>
    </row>
    <row r="48" spans="1:9" ht="12.75" customHeight="1">
      <c r="A48" s="176" t="s">
        <v>18</v>
      </c>
      <c r="B48" s="177"/>
      <c r="C48" s="178"/>
      <c r="D48" s="65" t="e">
        <f>IF(G48+I48=0,0,(D49*(G49+I49)+D50*(G50+I50)+D51*(G51+I51)+D52*(G52+I52)+D53*(G53+I53))/(G48+I48))</f>
        <v>#DIV/0!</v>
      </c>
      <c r="E48" s="66">
        <f>IF(I48=0,0,(E49*I49+E50*I50+E51*I51+E52*I52+E53*I53)/I48)</f>
        <v>0</v>
      </c>
      <c r="F48" s="62">
        <f>SUM(F49:F53)</f>
        <v>26</v>
      </c>
      <c r="G48" s="25">
        <f>SUM(G49:G53)</f>
        <v>18206.49</v>
      </c>
      <c r="H48" s="26">
        <f>SUM(H49:H53)</f>
        <v>0</v>
      </c>
      <c r="I48" s="96">
        <f>SUM(I49:I53)</f>
        <v>0</v>
      </c>
    </row>
    <row r="49" spans="1:9" ht="12.75" customHeight="1">
      <c r="A49" s="99"/>
      <c r="B49" s="100" t="s">
        <v>0</v>
      </c>
      <c r="C49" s="20" t="s">
        <v>7</v>
      </c>
      <c r="D49" s="67" t="e">
        <f>IF(F49+H49=0,0,SUMIF(xehet2!S:S,20,xehet2!T:T)/SUMIF(xehet2!S:S,20,xehet2!D:D))</f>
        <v>#DIV/0!</v>
      </c>
      <c r="E49" s="39">
        <f>IF(H49=0,0,SUMIF(xehet2!V:V,220,xehet2!T:T)/SUMIF(xehet2!V:V,220,xehet2!D:D))</f>
        <v>0</v>
      </c>
      <c r="F49" s="40">
        <f>COUNTIF(xehet2!V:V,120)</f>
        <v>2</v>
      </c>
      <c r="G49" s="27">
        <f>SUMIF(xehet2!V:V,120,xehet2!D:D)</f>
        <v>1154.9</v>
      </c>
      <c r="H49" s="28">
        <f>COUNTIF(xehet2!V:V,220)</f>
        <v>0</v>
      </c>
      <c r="I49" s="86">
        <f>SUMIF(xehet2!V:V,220,xehet2!D:D)</f>
        <v>0</v>
      </c>
    </row>
    <row r="50" spans="1:9" ht="12.75" customHeight="1">
      <c r="A50" s="99"/>
      <c r="B50" s="100" t="s">
        <v>1</v>
      </c>
      <c r="C50" s="20" t="s">
        <v>88</v>
      </c>
      <c r="D50" s="67">
        <f>IF(F50+H50=0,0,SUMIF(xehet2!S:S,21,xehet2!T:T)/SUMIF(xehet2!S:S,21,xehet2!D:D))</f>
        <v>0</v>
      </c>
      <c r="E50" s="39">
        <f>IF(H50=0,0,SUMIF(xehet2!V:V,221,xehet2!T:T)/SUMIF(xehet2!V:V,221,xehet2!D:D))</f>
        <v>0</v>
      </c>
      <c r="F50" s="40">
        <f>COUNTIF(xehet2!V:V,121)</f>
        <v>1</v>
      </c>
      <c r="G50" s="27">
        <f>SUMIF(xehet2!V:V,121,xehet2!D:D)</f>
        <v>330.14</v>
      </c>
      <c r="H50" s="28">
        <f>COUNTIF(xehet2!V:V,221)</f>
        <v>0</v>
      </c>
      <c r="I50" s="86">
        <f>SUMIF(xehet2!V:V,221,xehet2!D:D)</f>
        <v>0</v>
      </c>
    </row>
    <row r="51" spans="1:9" ht="12.75" customHeight="1">
      <c r="A51" s="99"/>
      <c r="B51" s="100" t="s">
        <v>2</v>
      </c>
      <c r="C51" s="20" t="s">
        <v>89</v>
      </c>
      <c r="D51" s="67">
        <f>IF(F51+H51=0,0,SUMIF(xehet2!S:S,22,xehet2!T:T)/SUMIF(xehet2!S:S,22,xehet2!D:D))</f>
        <v>0</v>
      </c>
      <c r="E51" s="39">
        <f>IF(H51=0,0,SUMIF(xehet2!V:V,222,xehet2!T:T)/SUMIF(xehet2!V:V,222,xehet2!D:D))</f>
        <v>0</v>
      </c>
      <c r="F51" s="40">
        <f>COUNTIF(xehet2!V:V,122)</f>
        <v>0</v>
      </c>
      <c r="G51" s="27">
        <f>SUMIF(xehet2!V:V,122,xehet2!D:D)</f>
        <v>0</v>
      </c>
      <c r="H51" s="28">
        <f>COUNTIF(xehet2!V:V,222)</f>
        <v>0</v>
      </c>
      <c r="I51" s="86">
        <f>SUMIF(xehet2!V:V,222,xehet2!D:D)</f>
        <v>0</v>
      </c>
    </row>
    <row r="52" spans="1:9" ht="12.75" customHeight="1">
      <c r="A52" s="99"/>
      <c r="B52" s="100" t="s">
        <v>3</v>
      </c>
      <c r="C52" s="20" t="s">
        <v>90</v>
      </c>
      <c r="D52" s="67">
        <f>IF(F52+H52=0,0,SUMIF(xehet2!S:S,23,xehet2!T:T)/SUMIF(xehet2!S:S,23,xehet2!D:D))</f>
        <v>0</v>
      </c>
      <c r="E52" s="39">
        <f>IF(H52=0,0,SUMIF(xehet2!V:V,223,xehet2!T:T)/SUMIF(xehet2!V:V,223,xehet2!D:D))</f>
        <v>0</v>
      </c>
      <c r="F52" s="40">
        <f>COUNTIF(xehet2!V:V,123)</f>
        <v>0</v>
      </c>
      <c r="G52" s="27">
        <f>SUMIF(xehet2!V:V,123,xehet2!D:D)</f>
        <v>0</v>
      </c>
      <c r="H52" s="28">
        <f>COUNTIF(xehet2!V:V,223)</f>
        <v>0</v>
      </c>
      <c r="I52" s="86">
        <f>SUMIF(xehet2!V:V,223,xehet2!D:D)</f>
        <v>0</v>
      </c>
    </row>
    <row r="53" spans="1:9" ht="12.75" customHeight="1">
      <c r="A53" s="99"/>
      <c r="B53" s="100" t="s">
        <v>24</v>
      </c>
      <c r="C53" s="20" t="s">
        <v>23</v>
      </c>
      <c r="D53" s="67">
        <f>IF(F53+H53=0,0,SUMIF(xehet2!S:S,29,xehet2!T:T)/SUMIF(xehet2!S:S,29,xehet2!D:D))</f>
        <v>0</v>
      </c>
      <c r="E53" s="39">
        <f>IF(H53=0,0,SUMIF(xehet2!V:V,229,xehet2!T:T)/SUMIF(xehet2!V:V,229,xehet2!D:D))</f>
        <v>0</v>
      </c>
      <c r="F53" s="40">
        <f>COUNTIF(xehet2!V:V,129)</f>
        <v>23</v>
      </c>
      <c r="G53" s="27">
        <f>SUMIF(xehet2!V:V,129,xehet2!D:D)</f>
        <v>16721.45</v>
      </c>
      <c r="H53" s="28">
        <f>COUNTIF(xehet2!V:V,229)</f>
        <v>0</v>
      </c>
      <c r="I53" s="86">
        <f>SUMIF(xehet2!V:V,229,xehet2!D:D)</f>
        <v>0</v>
      </c>
    </row>
    <row r="54" spans="1:9" ht="12.75" customHeight="1">
      <c r="A54" s="158" t="s">
        <v>10</v>
      </c>
      <c r="B54" s="159"/>
      <c r="C54" s="159"/>
      <c r="D54" s="65">
        <f aca="true" t="shared" si="2" ref="D54:I54">D55</f>
        <v>0</v>
      </c>
      <c r="E54" s="66">
        <f t="shared" si="2"/>
        <v>0</v>
      </c>
      <c r="F54" s="63">
        <f t="shared" si="2"/>
        <v>0</v>
      </c>
      <c r="G54" s="30">
        <f t="shared" si="2"/>
        <v>0</v>
      </c>
      <c r="H54" s="29">
        <f t="shared" si="2"/>
        <v>0</v>
      </c>
      <c r="I54" s="96">
        <f t="shared" si="2"/>
        <v>0</v>
      </c>
    </row>
    <row r="55" spans="1:9" ht="12.75" customHeight="1">
      <c r="A55" s="99"/>
      <c r="B55" s="101" t="s">
        <v>26</v>
      </c>
      <c r="C55" s="102" t="s">
        <v>27</v>
      </c>
      <c r="D55" s="67">
        <f>IF(F55+H55=0,0,SUMIF(xehet2!S:S,69,xehet2!T:T)/SUMIF(xehet2!S:S,69,xehet2!D:D))</f>
        <v>0</v>
      </c>
      <c r="E55" s="39">
        <f>IF(H55=0,0,SUMIF(xehet2!V:V,269,xehet2!T:T)/SUMIF(xehet2!V:V,269,xehet2!D:D))</f>
        <v>0</v>
      </c>
      <c r="F55" s="40">
        <f>COUNTIF(xehet2!V:V,169)</f>
        <v>0</v>
      </c>
      <c r="G55" s="27">
        <f>SUMIF(xehet2!V:V,169,xehet2!D:D)</f>
        <v>0</v>
      </c>
      <c r="H55" s="28">
        <f>COUNTIF(xehet2!V:V,269)</f>
        <v>0</v>
      </c>
      <c r="I55" s="86">
        <f>SUMIF(xehet2!V:V,269,xehet2!D:D)</f>
        <v>0</v>
      </c>
    </row>
    <row r="56" spans="1:9" ht="12.75" customHeight="1">
      <c r="A56" s="179" t="s">
        <v>67</v>
      </c>
      <c r="B56" s="180"/>
      <c r="C56" s="181"/>
      <c r="D56" s="65">
        <f aca="true" t="shared" si="3" ref="D56:I56">D57</f>
        <v>0</v>
      </c>
      <c r="E56" s="66">
        <f t="shared" si="3"/>
        <v>0</v>
      </c>
      <c r="F56" s="63">
        <f t="shared" si="3"/>
        <v>0</v>
      </c>
      <c r="G56" s="30">
        <f t="shared" si="3"/>
        <v>0</v>
      </c>
      <c r="H56" s="29">
        <f t="shared" si="3"/>
        <v>0</v>
      </c>
      <c r="I56" s="96">
        <f t="shared" si="3"/>
        <v>0</v>
      </c>
    </row>
    <row r="57" spans="1:9" ht="12.75" customHeight="1">
      <c r="A57" s="99"/>
      <c r="B57" s="182" t="s">
        <v>20</v>
      </c>
      <c r="C57" s="183"/>
      <c r="D57" s="107"/>
      <c r="E57" s="108"/>
      <c r="F57" s="109"/>
      <c r="G57" s="110"/>
      <c r="H57" s="111"/>
      <c r="I57" s="112"/>
    </row>
    <row r="58" spans="1:9" ht="12.75" customHeight="1" thickBot="1">
      <c r="A58" s="184" t="s">
        <v>11</v>
      </c>
      <c r="B58" s="185"/>
      <c r="C58" s="186"/>
      <c r="D58" s="76" t="e">
        <f>IF(G58+I58=0,0,(D48*(G48+I48)+D54*(G54+I54)+D56*(G56+I56))/(G58+I58))</f>
        <v>#DIV/0!</v>
      </c>
      <c r="E58" s="77">
        <f>IF(I58=0,0,(E48*I48+E54*I54+E56*I56)/I58)</f>
        <v>0</v>
      </c>
      <c r="F58" s="78">
        <f>F48+F54+F56</f>
        <v>26</v>
      </c>
      <c r="G58" s="79">
        <f>G48+G54+G56</f>
        <v>18206.49</v>
      </c>
      <c r="H58" s="80">
        <f>H48+H54+H56</f>
        <v>0</v>
      </c>
      <c r="I58" s="83">
        <f>I48+I54+I56</f>
        <v>0</v>
      </c>
    </row>
    <row r="59" spans="1:9" ht="12.75" customHeight="1">
      <c r="A59" s="2" t="s">
        <v>68</v>
      </c>
      <c r="D59" s="73" t="e">
        <f>IF(SUM(xehet2!D:D)=0,0,SUM(xehet2!T:T)/SUM(xehet2!D:D))-IF((G48+I48+G54+I54)=0,0,(D48*(G48+I48)+D54*(G54+I54))/(G48+I48+G54+I54))</f>
        <v>#DIV/0!</v>
      </c>
      <c r="E59" s="73">
        <f>IF(SUMIF(xehet2!V:V,"&gt;199",xehet2!D:D)=0,0,SUMIF(xehet2!V:V,"&gt;199",xehet2!T:T)/SUMIF(xehet2!V:V,"&gt;199",xehet2!D:D))-IF(I48+I54=0,0,(E48*I48+E54*I54)/(I48+I54))</f>
        <v>0</v>
      </c>
      <c r="F59" s="73">
        <f>COUNTIF(xehet2!P:P,"&lt;=30")-F58+F57</f>
        <v>4</v>
      </c>
      <c r="G59" s="73">
        <f>SUMIF(xehet2!P:P,"&lt;=30",xehet2!D:D)-G58+G57</f>
        <v>2852.4300000000003</v>
      </c>
      <c r="H59" s="73">
        <f>COUNTIF(xehet2!P:P,"&gt;30")-H58+H57</f>
        <v>0</v>
      </c>
      <c r="I59" s="73">
        <f>SUMIF(xehet2!P:P,"&gt;30",xehet2!D:D)-I58+I57</f>
        <v>0</v>
      </c>
    </row>
    <row r="60" spans="4:9" ht="12.75" customHeight="1">
      <c r="D60" s="35"/>
      <c r="E60" s="35"/>
      <c r="F60" s="35"/>
      <c r="G60" s="35"/>
      <c r="H60" s="35"/>
      <c r="I60" s="35"/>
    </row>
    <row r="63" spans="1:9" s="43" customFormat="1" ht="15.75">
      <c r="A63" s="57" t="s">
        <v>64</v>
      </c>
      <c r="B63" s="58"/>
      <c r="C63" s="58"/>
      <c r="D63" s="58"/>
      <c r="E63" s="58"/>
      <c r="F63" s="58"/>
      <c r="G63" s="58"/>
      <c r="H63" s="58"/>
      <c r="I63" s="58"/>
    </row>
    <row r="64" spans="1:9" ht="12.75" customHeight="1">
      <c r="A64" s="36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6"/>
      <c r="B65" s="35"/>
      <c r="C65" s="35"/>
      <c r="D65" s="35"/>
      <c r="E65" s="35"/>
      <c r="F65" s="35"/>
      <c r="G65" s="35"/>
      <c r="H65" s="35"/>
      <c r="I65" s="35"/>
    </row>
    <row r="66" s="19" customFormat="1" ht="13.5" thickBot="1">
      <c r="A66" s="1" t="s">
        <v>38</v>
      </c>
    </row>
    <row r="67" spans="1:7" ht="33.75">
      <c r="A67" s="142" t="s">
        <v>31</v>
      </c>
      <c r="B67" s="143"/>
      <c r="C67" s="163"/>
      <c r="D67" s="84" t="s">
        <v>45</v>
      </c>
      <c r="E67" s="74" t="s">
        <v>17</v>
      </c>
      <c r="F67" s="85" t="s">
        <v>13</v>
      </c>
      <c r="G67" s="37"/>
    </row>
    <row r="68" spans="1:6" ht="12.75" customHeight="1">
      <c r="A68" s="106"/>
      <c r="B68" s="187" t="s">
        <v>18</v>
      </c>
      <c r="C68" s="188"/>
      <c r="D68" s="68">
        <f>IF(E68=0,0,SUMIF(xehet32!T:T,22,xehet32!R:R)/SUMIF(xehet32!T:T,22,xehet32!D:D))</f>
        <v>0</v>
      </c>
      <c r="E68" s="38">
        <f>COUNTIF(xehet32!T:T,22)</f>
        <v>0</v>
      </c>
      <c r="F68" s="86">
        <f>SUMIF(xehet32!T:T,22,xehet32!D:D)</f>
        <v>0</v>
      </c>
    </row>
    <row r="69" spans="1:6" ht="12.75" customHeight="1">
      <c r="A69" s="99"/>
      <c r="B69" s="170" t="s">
        <v>10</v>
      </c>
      <c r="C69" s="171"/>
      <c r="D69" s="68">
        <f>IF(E69=0,0,SUMIF(xehet32!T:T,26,xehet32!R:R)/SUMIF(xehet32!T:T,26,xehet32!D:D))</f>
        <v>0</v>
      </c>
      <c r="E69" s="38">
        <f>COUNTIF(xehet32!T:T,26)</f>
        <v>0</v>
      </c>
      <c r="F69" s="86">
        <f>SUMIF(xehet32!T:T,26,xehet32!D:D)</f>
        <v>0</v>
      </c>
    </row>
    <row r="70" spans="1:6" ht="12.75" customHeight="1">
      <c r="A70" s="105"/>
      <c r="B70" s="160" t="s">
        <v>20</v>
      </c>
      <c r="C70" s="172"/>
      <c r="D70" s="68">
        <f>IF(E70=0,0,SUMIF(xehet32!T:T,29,xehet32!R:R)/SUMIF(xehet32!T:T,29,xehet32!D:D))</f>
        <v>0</v>
      </c>
      <c r="E70" s="38">
        <f>COUNTIF(xehet32!T:T,29)</f>
        <v>0</v>
      </c>
      <c r="F70" s="86">
        <f>SUMIF(xehet32!T:T,29,xehet32!D:D)</f>
        <v>0</v>
      </c>
    </row>
    <row r="71" spans="1:6" ht="12.75" customHeight="1" thickBot="1">
      <c r="A71" s="189" t="s">
        <v>11</v>
      </c>
      <c r="B71" s="190"/>
      <c r="C71" s="191"/>
      <c r="D71" s="87">
        <f>IF(F71=0,0,(D68*F68+D69*F69+D70*F70)/F71)</f>
        <v>0</v>
      </c>
      <c r="E71" s="80">
        <f>SUM(E68:E70)</f>
        <v>0</v>
      </c>
      <c r="F71" s="88">
        <f>SUM(F68:F70)</f>
        <v>0</v>
      </c>
    </row>
    <row r="72" spans="4:6" ht="12.75" customHeight="1">
      <c r="D72" s="73">
        <f>IF(D73=0,0,(SUMIF(xehet32!O:O,"&gt;90",xehet32!R:R)/SUMIF(xehet32!O:O,"&gt;90",xehet32!D:D)))-IF(D71="",0,D71)</f>
        <v>0</v>
      </c>
      <c r="E72" s="73">
        <f>COUNTIF(xehet32!O:O,"&gt;90")-E71</f>
        <v>0</v>
      </c>
      <c r="F72" s="73">
        <f>SUMIF(xehet32!O:O,"&gt;90",xehet32!D:D)-F71</f>
        <v>0</v>
      </c>
    </row>
    <row r="73" spans="4:6" ht="12.75" customHeight="1">
      <c r="D73" s="114">
        <f>SUMIF(xehet32!O:O,"&gt;90",xehet32!D:D)</f>
        <v>0</v>
      </c>
      <c r="E73" s="35"/>
      <c r="F73" s="35"/>
    </row>
    <row r="74" s="19" customFormat="1" ht="13.5" thickBot="1">
      <c r="A74" s="1" t="s">
        <v>47</v>
      </c>
    </row>
    <row r="75" spans="1:7" ht="12.75" customHeight="1">
      <c r="A75" s="142" t="s">
        <v>48</v>
      </c>
      <c r="B75" s="143"/>
      <c r="C75" s="163"/>
      <c r="D75" s="165" t="s">
        <v>65</v>
      </c>
      <c r="E75" s="166"/>
      <c r="F75" s="166"/>
      <c r="G75" s="167"/>
    </row>
    <row r="76" spans="1:7" ht="12.75" customHeight="1">
      <c r="A76" s="145"/>
      <c r="B76" s="146"/>
      <c r="C76" s="164"/>
      <c r="D76" s="61" t="s">
        <v>58</v>
      </c>
      <c r="E76" s="23" t="s">
        <v>59</v>
      </c>
      <c r="F76" s="23" t="s">
        <v>13</v>
      </c>
      <c r="G76" s="75" t="s">
        <v>59</v>
      </c>
    </row>
    <row r="77" spans="1:7" ht="12.75" customHeight="1">
      <c r="A77" s="106"/>
      <c r="B77" s="187" t="s">
        <v>39</v>
      </c>
      <c r="C77" s="188"/>
      <c r="D77" s="40">
        <f>COUNTIF(xehet32!O:O,"&lt;=30")</f>
        <v>35</v>
      </c>
      <c r="E77" s="41">
        <f>IF($D$81=0,0,D77*100/$D$81)</f>
        <v>100</v>
      </c>
      <c r="F77" s="27">
        <f>SUMIF(xehet32!O:O,"&lt;=30",xehet32!D:D)</f>
        <v>37621.81</v>
      </c>
      <c r="G77" s="89">
        <f>IF($F$81=0,0,F77*100/$F$81)</f>
        <v>100</v>
      </c>
    </row>
    <row r="78" spans="1:7" ht="12.75" customHeight="1">
      <c r="A78" s="99"/>
      <c r="B78" s="170" t="s">
        <v>40</v>
      </c>
      <c r="C78" s="171"/>
      <c r="D78" s="40">
        <f>COUNTIF(xehet32!O:O,"&lt;=60")-D77</f>
        <v>0</v>
      </c>
      <c r="E78" s="41">
        <f>IF($D$81=0,0,D78*100/$D$81)</f>
        <v>0</v>
      </c>
      <c r="F78" s="27">
        <f>SUMIF(xehet32!O:O,"&lt;=60",xehet32!D:D)-F77</f>
        <v>0</v>
      </c>
      <c r="G78" s="89">
        <f>IF($F$81=0,0,F78*100/$F$81)</f>
        <v>0</v>
      </c>
    </row>
    <row r="79" spans="1:7" ht="12.75" customHeight="1">
      <c r="A79" s="99"/>
      <c r="B79" s="168" t="s">
        <v>41</v>
      </c>
      <c r="C79" s="169"/>
      <c r="D79" s="40">
        <f>COUNTIF(xehet32!O:O,"&lt;=90")-SUM(D77:D78)</f>
        <v>0</v>
      </c>
      <c r="E79" s="41">
        <f>IF($D$81=0,0,D79*100/$D$81)</f>
        <v>0</v>
      </c>
      <c r="F79" s="27">
        <f>SUMIF(xehet32!O:O,"&lt;=90",xehet32!D:D)-SUM(F77:F78)</f>
        <v>0</v>
      </c>
      <c r="G79" s="89">
        <f>IF($F$81=0,0,F79*100/$F$81)</f>
        <v>0</v>
      </c>
    </row>
    <row r="80" spans="1:7" ht="12.75" customHeight="1">
      <c r="A80" s="99"/>
      <c r="B80" s="168" t="s">
        <v>42</v>
      </c>
      <c r="C80" s="169"/>
      <c r="D80" s="40">
        <f>COUNTIF(xehet32!O:O,"&gt;90")</f>
        <v>0</v>
      </c>
      <c r="E80" s="41">
        <f>IF($D$81=0,0,D80*100/$D$81)</f>
        <v>0</v>
      </c>
      <c r="F80" s="27">
        <f>SUMIF(xehet32!O:O,"&gt;90",xehet32!D:D)</f>
        <v>0</v>
      </c>
      <c r="G80" s="89">
        <f>IF($F$81=0,0,F80*100/$F$81)</f>
        <v>0</v>
      </c>
    </row>
    <row r="81" spans="1:7" ht="12.75" customHeight="1" thickBot="1">
      <c r="A81" s="194" t="s">
        <v>11</v>
      </c>
      <c r="B81" s="195"/>
      <c r="C81" s="196"/>
      <c r="D81" s="78">
        <f>SUM(D77:D80)</f>
        <v>35</v>
      </c>
      <c r="E81" s="90">
        <f>SUM(E77:E80)</f>
        <v>100</v>
      </c>
      <c r="F81" s="79">
        <f>SUM(F77:F80)</f>
        <v>37621.81</v>
      </c>
      <c r="G81" s="91">
        <f>SUM(G77:G80)</f>
        <v>100</v>
      </c>
    </row>
    <row r="82" spans="1:7" ht="12.75" customHeight="1">
      <c r="A82" s="34"/>
      <c r="B82" s="34"/>
      <c r="C82" s="34"/>
      <c r="D82" s="73">
        <f>COUNT(xehet32!D:D)-D81</f>
        <v>0</v>
      </c>
      <c r="E82" s="73"/>
      <c r="F82" s="73">
        <f>SUM(xehet32!D:D)-F81</f>
        <v>0</v>
      </c>
      <c r="G82" s="35"/>
    </row>
    <row r="83" spans="1:7" ht="12.75" customHeight="1">
      <c r="A83" s="34"/>
      <c r="B83" s="34"/>
      <c r="C83" s="34"/>
      <c r="D83" s="73">
        <f>E71-D80</f>
        <v>0</v>
      </c>
      <c r="E83" s="73"/>
      <c r="F83" s="73">
        <f>F71-F80</f>
        <v>0</v>
      </c>
      <c r="G83" s="35"/>
    </row>
    <row r="84" spans="1:7" ht="12.75" customHeight="1">
      <c r="A84" s="34"/>
      <c r="B84" s="34"/>
      <c r="C84" s="34"/>
      <c r="D84" s="20"/>
      <c r="E84" s="20"/>
      <c r="F84" s="35"/>
      <c r="G84" s="35"/>
    </row>
    <row r="85" spans="1:5" s="43" customFormat="1" ht="15.75">
      <c r="A85" s="57" t="s">
        <v>49</v>
      </c>
      <c r="B85" s="59"/>
      <c r="C85" s="59"/>
      <c r="D85" s="60"/>
      <c r="E85" s="60"/>
    </row>
    <row r="86" spans="1:5" ht="12.75" customHeight="1">
      <c r="A86" s="36"/>
      <c r="B86" s="34"/>
      <c r="C86" s="34"/>
      <c r="D86" s="20"/>
      <c r="E86" s="20"/>
    </row>
    <row r="87" ht="12.75" customHeight="1" thickBot="1"/>
    <row r="88" spans="1:8" ht="12.75" customHeight="1">
      <c r="A88" s="197" t="s">
        <v>51</v>
      </c>
      <c r="B88" s="198"/>
      <c r="C88" s="199"/>
      <c r="D88" s="208" t="s">
        <v>53</v>
      </c>
      <c r="E88" s="209"/>
      <c r="F88" s="208" t="s">
        <v>54</v>
      </c>
      <c r="G88" s="209"/>
      <c r="H88" s="203" t="s">
        <v>50</v>
      </c>
    </row>
    <row r="89" spans="1:8" ht="12.75" customHeight="1">
      <c r="A89" s="200"/>
      <c r="B89" s="201"/>
      <c r="C89" s="202"/>
      <c r="D89" s="69" t="s">
        <v>52</v>
      </c>
      <c r="E89" s="70" t="s">
        <v>44</v>
      </c>
      <c r="F89" s="69" t="s">
        <v>52</v>
      </c>
      <c r="G89" s="70" t="s">
        <v>44</v>
      </c>
      <c r="H89" s="204"/>
    </row>
    <row r="90" spans="1:8" ht="12.75" customHeight="1" thickBot="1">
      <c r="A90" s="205" t="str">
        <f>D3</f>
        <v>OARSOALDEA</v>
      </c>
      <c r="B90" s="206"/>
      <c r="C90" s="207"/>
      <c r="D90" s="92">
        <f>IF((SUM(xehet1!D:D)+G24+I24)=0,0,(SUM(xehet1!T:T)+D24*(G24+I24))/(SUM(xehet1!D:D)+G24+I24))</f>
        <v>0</v>
      </c>
      <c r="E90" s="93">
        <f>SUM(xehet1!D:D)+G24+I24</f>
        <v>163938.33999999997</v>
      </c>
      <c r="F90" s="92">
        <f>IF((SUM(xehet2!D:D)+G56+I56)=0,0,(SUM(xehet2!T:T)+D56*(G56+I56))/(SUM(xehet2!D:D)+G56+I56))</f>
        <v>0</v>
      </c>
      <c r="G90" s="93">
        <f>SUM(xehet2!D:D)+G56+I56</f>
        <v>21058.920000000002</v>
      </c>
      <c r="H90" s="94">
        <f>IF(E90=0,F90,IF(G90=0,D90,(D90*E90+F90*G90)/(E90+G90)))</f>
        <v>0</v>
      </c>
    </row>
    <row r="91" spans="4:8" ht="12.75" customHeight="1">
      <c r="D91" s="32"/>
      <c r="E91" s="116">
        <f>E90-F38</f>
        <v>0</v>
      </c>
      <c r="F91" s="116"/>
      <c r="G91" s="116">
        <f>G90-G58-I58-F81</f>
        <v>-34769.38</v>
      </c>
      <c r="H91" s="116">
        <f>IF(H92=0,0,(SUM(xehet1!U:U)+SUM(xehet2!U:U)+SUM(xehet32!S:S)+D24*(G24+I24)+D56*(G56+I56))/(SUM(xehet1!D:D)+SUM(xehet2!D:D)+SUM(xehet32!D:D)+G24+I24+G56+I56))-IF(H90="",0,H90)</f>
        <v>-13.998793769105218</v>
      </c>
    </row>
    <row r="92" spans="1:8" ht="12.75" customHeight="1" thickBot="1">
      <c r="A92" s="4" t="s">
        <v>55</v>
      </c>
      <c r="E92" s="35"/>
      <c r="F92" s="35"/>
      <c r="G92" s="35"/>
      <c r="H92" s="115">
        <f>(SUM(xehet1!D:D)+SUM(xehet2!D:D)+SUM(xehet32!D:D)+G24+I24+G56+I56)</f>
        <v>222619.06999999998</v>
      </c>
    </row>
    <row r="93" spans="2:8" ht="43.5" customHeight="1" thickBot="1">
      <c r="B93" s="192"/>
      <c r="C93" s="193"/>
      <c r="E93" s="35"/>
      <c r="F93" s="35"/>
      <c r="G93" s="35"/>
      <c r="H93" s="35"/>
    </row>
  </sheetData>
  <sheetProtection/>
  <mergeCells count="50"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A45:C47"/>
    <mergeCell ref="D45:E45"/>
    <mergeCell ref="A48:C48"/>
    <mergeCell ref="A54:C54"/>
    <mergeCell ref="A56:C56"/>
    <mergeCell ref="B57:C57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 D90 F90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199"/>
  <sheetViews>
    <sheetView zoomScale="85" zoomScaleNormal="85" zoomScalePageLayoutView="0" workbookViewId="0" topLeftCell="A1">
      <selection activeCell="A6" sqref="A6:IV192"/>
    </sheetView>
  </sheetViews>
  <sheetFormatPr defaultColWidth="9.140625" defaultRowHeight="12.75"/>
  <cols>
    <col min="1" max="1" width="13.7109375" style="2" customWidth="1"/>
    <col min="2" max="2" width="10.7109375" style="15" bestFit="1" customWidth="1"/>
    <col min="3" max="3" width="19.28125" style="2" bestFit="1" customWidth="1"/>
    <col min="4" max="4" width="11.140625" style="8" bestFit="1" customWidth="1"/>
    <col min="5" max="5" width="10.7109375" style="2" bestFit="1" customWidth="1"/>
    <col min="6" max="6" width="11.28125" style="2" customWidth="1"/>
    <col min="7" max="7" width="8.8515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8515625" style="15" bestFit="1" customWidth="1"/>
    <col min="12" max="12" width="9.00390625" style="15" bestFit="1" customWidth="1"/>
    <col min="13" max="13" width="13.57421875" style="15" bestFit="1" customWidth="1"/>
    <col min="14" max="14" width="20.421875" style="15" customWidth="1"/>
    <col min="15" max="15" width="7.140625" style="10" bestFit="1" customWidth="1"/>
    <col min="16" max="16" width="7.140625" style="10" customWidth="1"/>
    <col min="17" max="17" width="7.140625" style="10" bestFit="1" customWidth="1"/>
    <col min="18" max="18" width="7.57421875" style="10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17" customWidth="1"/>
    <col min="23" max="16384" width="9.140625" style="2" customWidth="1"/>
  </cols>
  <sheetData>
    <row r="2" spans="13:14" ht="11.25">
      <c r="M2" s="210" t="s">
        <v>97</v>
      </c>
      <c r="N2" s="211"/>
    </row>
    <row r="3" spans="1:13" ht="11.25">
      <c r="A3" s="3" t="s">
        <v>69</v>
      </c>
      <c r="B3" s="17"/>
      <c r="C3" s="4"/>
      <c r="D3" s="7"/>
      <c r="E3" s="4"/>
      <c r="F3" s="4"/>
      <c r="G3" s="4"/>
      <c r="H3" s="4"/>
      <c r="I3" s="4"/>
      <c r="J3" s="4"/>
      <c r="M3" s="119" t="s">
        <v>98</v>
      </c>
    </row>
    <row r="4" spans="13:14" ht="11.25">
      <c r="M4" s="119" t="s">
        <v>99</v>
      </c>
      <c r="N4" s="119" t="s">
        <v>100</v>
      </c>
    </row>
    <row r="5" spans="1:22" ht="22.5">
      <c r="A5" s="5" t="s">
        <v>75</v>
      </c>
      <c r="B5" s="18" t="s">
        <v>70</v>
      </c>
      <c r="C5" s="6" t="s">
        <v>85</v>
      </c>
      <c r="D5" s="9" t="s">
        <v>44</v>
      </c>
      <c r="F5" s="6" t="s">
        <v>71</v>
      </c>
      <c r="G5" s="6" t="s">
        <v>72</v>
      </c>
      <c r="H5" s="6" t="s">
        <v>82</v>
      </c>
      <c r="I5" s="6" t="s">
        <v>83</v>
      </c>
      <c r="J5" s="6" t="s">
        <v>73</v>
      </c>
      <c r="K5" s="16" t="s">
        <v>74</v>
      </c>
      <c r="L5" s="16" t="s">
        <v>76</v>
      </c>
      <c r="M5" s="16" t="s">
        <v>91</v>
      </c>
      <c r="N5" s="16" t="s">
        <v>92</v>
      </c>
      <c r="O5" s="11" t="s">
        <v>77</v>
      </c>
      <c r="P5" s="12" t="s">
        <v>78</v>
      </c>
      <c r="Q5" s="13" t="s">
        <v>79</v>
      </c>
      <c r="R5" s="14" t="s">
        <v>50</v>
      </c>
      <c r="S5" s="2" t="s">
        <v>93</v>
      </c>
      <c r="T5" s="8" t="s">
        <v>94</v>
      </c>
      <c r="U5" s="8" t="s">
        <v>95</v>
      </c>
      <c r="V5" s="117" t="s">
        <v>96</v>
      </c>
    </row>
    <row r="6" spans="1:22" ht="15">
      <c r="A6" s="212" t="s">
        <v>112</v>
      </c>
      <c r="B6" s="213">
        <v>43677</v>
      </c>
      <c r="C6" s="212" t="s">
        <v>113</v>
      </c>
      <c r="D6" s="214">
        <v>3888</v>
      </c>
      <c r="F6" s="121"/>
      <c r="K6" s="213">
        <v>43647</v>
      </c>
      <c r="M6" s="124">
        <f>+N6</f>
        <v>43677</v>
      </c>
      <c r="N6" s="213">
        <v>43677</v>
      </c>
      <c r="O6" s="97">
        <f>+K6-M6</f>
        <v>-30</v>
      </c>
      <c r="P6" s="97">
        <f>+N6-M6</f>
        <v>0</v>
      </c>
      <c r="Q6" s="97">
        <f>+N6-K6</f>
        <v>30</v>
      </c>
      <c r="R6" s="97">
        <f>+Q6-30</f>
        <v>0</v>
      </c>
      <c r="S6">
        <v>29</v>
      </c>
      <c r="T6" s="131">
        <f>+P6*D6</f>
        <v>0</v>
      </c>
      <c r="U6" s="131">
        <f>+R6*D6</f>
        <v>0</v>
      </c>
      <c r="V6" s="118">
        <f>IF(P6&gt;30,200+S6,100+S6)</f>
        <v>129</v>
      </c>
    </row>
    <row r="7" spans="1:22" ht="15">
      <c r="A7" s="212" t="s">
        <v>114</v>
      </c>
      <c r="B7" s="213">
        <v>43649</v>
      </c>
      <c r="C7" s="212" t="s">
        <v>115</v>
      </c>
      <c r="D7" s="214">
        <v>200</v>
      </c>
      <c r="F7" s="121"/>
      <c r="K7" s="213">
        <v>43651</v>
      </c>
      <c r="M7" s="124">
        <f>+N7</f>
        <v>43661</v>
      </c>
      <c r="N7" s="213">
        <v>43661</v>
      </c>
      <c r="O7" s="97">
        <f>+K7-M7</f>
        <v>-10</v>
      </c>
      <c r="P7" s="97">
        <f>+N7-M7</f>
        <v>0</v>
      </c>
      <c r="Q7" s="97">
        <f>+N7-K7</f>
        <v>10</v>
      </c>
      <c r="R7" s="97">
        <f>+Q7-30</f>
        <v>-20</v>
      </c>
      <c r="S7">
        <v>29</v>
      </c>
      <c r="T7" s="131">
        <f>+P7*D7</f>
        <v>0</v>
      </c>
      <c r="U7" s="131">
        <f>+R7*D7</f>
        <v>-4000</v>
      </c>
      <c r="V7" s="118">
        <f>IF(P6&gt;30,200+S6,100+S6)</f>
        <v>129</v>
      </c>
    </row>
    <row r="8" spans="1:22" ht="15">
      <c r="A8" s="212" t="s">
        <v>116</v>
      </c>
      <c r="B8" s="213">
        <v>43648</v>
      </c>
      <c r="C8" s="212" t="s">
        <v>117</v>
      </c>
      <c r="D8" s="214">
        <v>30</v>
      </c>
      <c r="F8" s="121"/>
      <c r="K8" s="213">
        <v>43651</v>
      </c>
      <c r="M8" s="124">
        <f>+N8</f>
        <v>43661</v>
      </c>
      <c r="N8" s="213">
        <v>43661</v>
      </c>
      <c r="O8" s="97">
        <f>+K8-M8</f>
        <v>-10</v>
      </c>
      <c r="P8" s="97">
        <f>+N8-M8</f>
        <v>0</v>
      </c>
      <c r="Q8" s="97">
        <f>+N8-K8</f>
        <v>10</v>
      </c>
      <c r="R8" s="97">
        <f>+Q8-30</f>
        <v>-20</v>
      </c>
      <c r="S8">
        <v>29</v>
      </c>
      <c r="T8" s="131">
        <f>+P8*D8</f>
        <v>0</v>
      </c>
      <c r="U8" s="131">
        <f>+R8*D8</f>
        <v>-600</v>
      </c>
      <c r="V8" s="118">
        <f>IF(P7&gt;30,200+S7,100+S7)</f>
        <v>129</v>
      </c>
    </row>
    <row r="9" spans="1:22" ht="15">
      <c r="A9" s="212" t="s">
        <v>118</v>
      </c>
      <c r="B9" s="213">
        <v>43651</v>
      </c>
      <c r="C9" s="212" t="s">
        <v>119</v>
      </c>
      <c r="D9" s="214">
        <v>-16.34</v>
      </c>
      <c r="F9" s="121"/>
      <c r="K9" s="213">
        <v>43654</v>
      </c>
      <c r="M9" s="124">
        <f>+N9</f>
        <v>43651</v>
      </c>
      <c r="N9" s="213">
        <v>43651</v>
      </c>
      <c r="O9" s="97">
        <f>+K9-M9</f>
        <v>3</v>
      </c>
      <c r="P9" s="97">
        <f>+N9-M9</f>
        <v>0</v>
      </c>
      <c r="Q9" s="97">
        <f>+N9-K9</f>
        <v>-3</v>
      </c>
      <c r="R9" s="97">
        <f>+Q9-30</f>
        <v>-33</v>
      </c>
      <c r="S9">
        <v>29</v>
      </c>
      <c r="T9" s="131">
        <f>+P9*D9</f>
        <v>0</v>
      </c>
      <c r="U9" s="131">
        <f>+R9*D9</f>
        <v>539.22</v>
      </c>
      <c r="V9" s="118">
        <f>IF(P8&gt;30,200+S8,100+S8)</f>
        <v>129</v>
      </c>
    </row>
    <row r="10" spans="1:22" ht="15">
      <c r="A10" s="212" t="s">
        <v>120</v>
      </c>
      <c r="B10" s="213">
        <v>43650</v>
      </c>
      <c r="C10" s="212" t="s">
        <v>121</v>
      </c>
      <c r="D10" s="214">
        <v>49</v>
      </c>
      <c r="F10" s="121"/>
      <c r="K10" s="213">
        <v>43654</v>
      </c>
      <c r="M10" s="124">
        <f>+N10</f>
        <v>43661</v>
      </c>
      <c r="N10" s="213">
        <v>43661</v>
      </c>
      <c r="O10" s="97">
        <f>+K10-M10</f>
        <v>-7</v>
      </c>
      <c r="P10" s="97">
        <f>+N10-M10</f>
        <v>0</v>
      </c>
      <c r="Q10" s="97">
        <f>+N10-K10</f>
        <v>7</v>
      </c>
      <c r="R10" s="97">
        <f>+Q10-30</f>
        <v>-23</v>
      </c>
      <c r="S10">
        <v>29</v>
      </c>
      <c r="T10" s="131">
        <f>+P10*D10</f>
        <v>0</v>
      </c>
      <c r="U10" s="131">
        <f>+R10*D10</f>
        <v>-1127</v>
      </c>
      <c r="V10" s="118">
        <f>IF(P9&gt;30,200+S9,100+S9)</f>
        <v>129</v>
      </c>
    </row>
    <row r="11" spans="1:22" ht="15">
      <c r="A11" s="212" t="s">
        <v>122</v>
      </c>
      <c r="B11" s="213">
        <v>43649</v>
      </c>
      <c r="C11" s="212" t="s">
        <v>123</v>
      </c>
      <c r="D11" s="214">
        <v>50</v>
      </c>
      <c r="F11" s="121"/>
      <c r="K11" s="213">
        <v>43654</v>
      </c>
      <c r="M11" s="124">
        <f>+N11</f>
        <v>43661</v>
      </c>
      <c r="N11" s="213">
        <v>43661</v>
      </c>
      <c r="O11" s="97">
        <f>+K11-M11</f>
        <v>-7</v>
      </c>
      <c r="P11" s="97">
        <f>+N11-M11</f>
        <v>0</v>
      </c>
      <c r="Q11" s="97">
        <f>+N11-K11</f>
        <v>7</v>
      </c>
      <c r="R11" s="97">
        <f>+Q11-30</f>
        <v>-23</v>
      </c>
      <c r="S11">
        <v>29</v>
      </c>
      <c r="T11" s="131">
        <f>+P11*D11</f>
        <v>0</v>
      </c>
      <c r="U11" s="131">
        <f>+R11*D11</f>
        <v>-1150</v>
      </c>
      <c r="V11" s="118">
        <f>IF(P10&gt;30,200+S10,100+S10)</f>
        <v>129</v>
      </c>
    </row>
    <row r="12" spans="1:22" ht="15">
      <c r="A12" s="212" t="s">
        <v>124</v>
      </c>
      <c r="B12" s="213">
        <v>43650</v>
      </c>
      <c r="C12" s="212" t="s">
        <v>125</v>
      </c>
      <c r="D12" s="214">
        <v>240</v>
      </c>
      <c r="F12" s="121"/>
      <c r="K12" s="213">
        <v>43655</v>
      </c>
      <c r="M12" s="124">
        <f>+N12</f>
        <v>43635</v>
      </c>
      <c r="N12" s="213">
        <v>43635</v>
      </c>
      <c r="O12" s="97">
        <f>+K12-M12</f>
        <v>20</v>
      </c>
      <c r="P12" s="97">
        <f>+N12-M12</f>
        <v>0</v>
      </c>
      <c r="Q12" s="97">
        <f>+N12-K12</f>
        <v>-20</v>
      </c>
      <c r="R12" s="97">
        <f>+Q12-30</f>
        <v>-50</v>
      </c>
      <c r="S12">
        <v>29</v>
      </c>
      <c r="T12" s="131">
        <f>+P12*D12</f>
        <v>0</v>
      </c>
      <c r="U12" s="131">
        <f>+R12*D12</f>
        <v>-12000</v>
      </c>
      <c r="V12" s="118">
        <f>IF(P11&gt;30,200+S11,100+S11)</f>
        <v>129</v>
      </c>
    </row>
    <row r="13" spans="1:22" ht="15">
      <c r="A13" s="212" t="s">
        <v>126</v>
      </c>
      <c r="B13" s="213">
        <v>43650</v>
      </c>
      <c r="C13" s="212" t="s">
        <v>127</v>
      </c>
      <c r="D13" s="214">
        <v>560</v>
      </c>
      <c r="F13" s="121"/>
      <c r="K13" s="213">
        <v>43655</v>
      </c>
      <c r="M13" s="124">
        <f>+N13</f>
        <v>43661</v>
      </c>
      <c r="N13" s="213">
        <v>43661</v>
      </c>
      <c r="O13" s="97">
        <f>+K13-M13</f>
        <v>-6</v>
      </c>
      <c r="P13" s="97">
        <f>+N13-M13</f>
        <v>0</v>
      </c>
      <c r="Q13" s="97">
        <f>+N13-K13</f>
        <v>6</v>
      </c>
      <c r="R13" s="97">
        <f>+Q13-30</f>
        <v>-24</v>
      </c>
      <c r="S13">
        <v>29</v>
      </c>
      <c r="T13" s="131">
        <f>+P13*D13</f>
        <v>0</v>
      </c>
      <c r="U13" s="131">
        <f>+R13*D13</f>
        <v>-13440</v>
      </c>
      <c r="V13" s="118">
        <f>IF(P12&gt;30,200+S12,100+S12)</f>
        <v>129</v>
      </c>
    </row>
    <row r="14" spans="1:22" ht="15">
      <c r="A14" s="212" t="s">
        <v>128</v>
      </c>
      <c r="B14" s="213">
        <v>43647</v>
      </c>
      <c r="C14" s="212" t="s">
        <v>129</v>
      </c>
      <c r="D14" s="214">
        <v>60.98</v>
      </c>
      <c r="F14" s="121"/>
      <c r="K14" s="213">
        <v>43647</v>
      </c>
      <c r="M14" s="124">
        <f>+N14</f>
        <v>43647</v>
      </c>
      <c r="N14" s="213">
        <v>43647</v>
      </c>
      <c r="O14" s="97">
        <f>+K14-M14</f>
        <v>0</v>
      </c>
      <c r="P14" s="97">
        <f>+N14-M14</f>
        <v>0</v>
      </c>
      <c r="Q14" s="97">
        <f>+N14-K14</f>
        <v>0</v>
      </c>
      <c r="R14" s="97">
        <f>+Q14-30</f>
        <v>-30</v>
      </c>
      <c r="S14">
        <v>29</v>
      </c>
      <c r="T14" s="131">
        <f>+P14*D14</f>
        <v>0</v>
      </c>
      <c r="U14" s="131">
        <f>+R14*D14</f>
        <v>-1829.3999999999999</v>
      </c>
      <c r="V14" s="118">
        <f>IF(P13&gt;30,200+S13,100+S13)</f>
        <v>129</v>
      </c>
    </row>
    <row r="15" spans="1:22" ht="15">
      <c r="A15" s="212" t="s">
        <v>130</v>
      </c>
      <c r="B15" s="213">
        <v>43647</v>
      </c>
      <c r="C15" s="212" t="s">
        <v>131</v>
      </c>
      <c r="D15" s="214">
        <v>28.6</v>
      </c>
      <c r="F15" s="121"/>
      <c r="K15" s="213">
        <v>43647</v>
      </c>
      <c r="M15" s="124">
        <f>+N15</f>
        <v>43651</v>
      </c>
      <c r="N15" s="213">
        <v>43651</v>
      </c>
      <c r="O15" s="97">
        <f>+K15-M15</f>
        <v>-4</v>
      </c>
      <c r="P15" s="97">
        <f>+N15-M15</f>
        <v>0</v>
      </c>
      <c r="Q15" s="97">
        <f>+N15-K15</f>
        <v>4</v>
      </c>
      <c r="R15" s="97">
        <f>+Q15-30</f>
        <v>-26</v>
      </c>
      <c r="S15">
        <v>20</v>
      </c>
      <c r="T15" s="131">
        <f>+P15*D15</f>
        <v>0</v>
      </c>
      <c r="U15" s="131">
        <f>+R15*D15</f>
        <v>-743.6</v>
      </c>
      <c r="V15" s="118">
        <f>IF(P14&gt;30,200+S14,100+S14)</f>
        <v>129</v>
      </c>
    </row>
    <row r="16" spans="1:22" ht="15">
      <c r="A16" s="212" t="s">
        <v>132</v>
      </c>
      <c r="B16" s="213">
        <v>43647</v>
      </c>
      <c r="C16" s="212" t="s">
        <v>133</v>
      </c>
      <c r="D16" s="214">
        <v>61.41</v>
      </c>
      <c r="F16" s="121"/>
      <c r="K16" s="213">
        <v>43647</v>
      </c>
      <c r="M16" s="124">
        <f>+N16</f>
        <v>43651</v>
      </c>
      <c r="N16" s="213">
        <v>43651</v>
      </c>
      <c r="O16" s="97">
        <f>+K16-M16</f>
        <v>-4</v>
      </c>
      <c r="P16" s="97">
        <f>+N16-M16</f>
        <v>0</v>
      </c>
      <c r="Q16" s="97">
        <f>+N16-K16</f>
        <v>4</v>
      </c>
      <c r="R16" s="97">
        <f>+Q16-30</f>
        <v>-26</v>
      </c>
      <c r="S16">
        <v>20</v>
      </c>
      <c r="T16" s="131">
        <f>+P16*D16</f>
        <v>0</v>
      </c>
      <c r="U16" s="131">
        <f>+R16*D16</f>
        <v>-1596.6599999999999</v>
      </c>
      <c r="V16" s="118">
        <f>IF(P15&gt;30,200+S15,100+S15)</f>
        <v>120</v>
      </c>
    </row>
    <row r="17" spans="1:22" ht="15">
      <c r="A17" s="212" t="s">
        <v>134</v>
      </c>
      <c r="B17" s="213">
        <v>43647</v>
      </c>
      <c r="C17" s="212" t="s">
        <v>135</v>
      </c>
      <c r="D17" s="214">
        <v>217.8</v>
      </c>
      <c r="F17" s="121"/>
      <c r="K17" s="213">
        <v>43647</v>
      </c>
      <c r="M17" s="124">
        <f>+N17</f>
        <v>43651</v>
      </c>
      <c r="N17" s="213">
        <v>43651</v>
      </c>
      <c r="O17" s="97">
        <f>+K17-M17</f>
        <v>-4</v>
      </c>
      <c r="P17" s="97">
        <f>+N17-M17</f>
        <v>0</v>
      </c>
      <c r="Q17" s="97">
        <f>+N17-K17</f>
        <v>4</v>
      </c>
      <c r="R17" s="97">
        <f>+Q17-30</f>
        <v>-26</v>
      </c>
      <c r="S17">
        <v>20</v>
      </c>
      <c r="T17" s="131">
        <f>+P17*D17</f>
        <v>0</v>
      </c>
      <c r="U17" s="131">
        <f>+R17*D17</f>
        <v>-5662.8</v>
      </c>
      <c r="V17" s="118">
        <f>IF(P16&gt;30,200+S16,100+S16)</f>
        <v>120</v>
      </c>
    </row>
    <row r="18" spans="1:22" ht="15">
      <c r="A18" s="212" t="s">
        <v>136</v>
      </c>
      <c r="B18" s="213">
        <v>43647</v>
      </c>
      <c r="C18" s="212" t="s">
        <v>137</v>
      </c>
      <c r="D18" s="214">
        <v>62.23</v>
      </c>
      <c r="F18" s="121"/>
      <c r="K18" s="213">
        <v>43647</v>
      </c>
      <c r="M18" s="124">
        <f>+N18</f>
        <v>43647</v>
      </c>
      <c r="N18" s="213">
        <v>43647</v>
      </c>
      <c r="O18" s="97">
        <f>+K18-M18</f>
        <v>0</v>
      </c>
      <c r="P18" s="97">
        <f>+N18-M18</f>
        <v>0</v>
      </c>
      <c r="Q18" s="97">
        <f>+N18-K18</f>
        <v>0</v>
      </c>
      <c r="R18" s="97">
        <f>+Q18-30</f>
        <v>-30</v>
      </c>
      <c r="S18">
        <v>21</v>
      </c>
      <c r="T18" s="131">
        <f>+P18*D18</f>
        <v>0</v>
      </c>
      <c r="U18" s="131">
        <f>+R18*D18</f>
        <v>-1866.8999999999999</v>
      </c>
      <c r="V18" s="118">
        <f>IF(P17&gt;30,200+S17,100+S17)</f>
        <v>120</v>
      </c>
    </row>
    <row r="19" spans="1:22" ht="15">
      <c r="A19" s="212" t="s">
        <v>138</v>
      </c>
      <c r="B19" s="213">
        <v>43648</v>
      </c>
      <c r="C19" s="212" t="s">
        <v>139</v>
      </c>
      <c r="D19" s="214">
        <v>8.9</v>
      </c>
      <c r="F19" s="121"/>
      <c r="K19" s="213">
        <v>43658</v>
      </c>
      <c r="M19" s="124">
        <f>+N19</f>
        <v>43663</v>
      </c>
      <c r="N19" s="213">
        <v>43663</v>
      </c>
      <c r="O19" s="97">
        <f>+K19-M19</f>
        <v>-5</v>
      </c>
      <c r="P19" s="97">
        <f>+N19-M19</f>
        <v>0</v>
      </c>
      <c r="Q19" s="97">
        <f>+N19-K19</f>
        <v>5</v>
      </c>
      <c r="R19" s="97">
        <f>+Q19-30</f>
        <v>-25</v>
      </c>
      <c r="S19">
        <v>22</v>
      </c>
      <c r="T19" s="131">
        <f>+P19*D19</f>
        <v>0</v>
      </c>
      <c r="U19" s="131">
        <f>+R19*D19</f>
        <v>-222.5</v>
      </c>
      <c r="V19" s="118">
        <f>IF(P18&gt;30,200+S18,100+S18)</f>
        <v>121</v>
      </c>
    </row>
    <row r="20" spans="1:22" ht="15">
      <c r="A20" s="212" t="s">
        <v>140</v>
      </c>
      <c r="B20" s="213">
        <v>43647</v>
      </c>
      <c r="C20" s="212" t="s">
        <v>141</v>
      </c>
      <c r="D20" s="214">
        <v>550.62</v>
      </c>
      <c r="F20" s="121"/>
      <c r="K20" s="213">
        <v>43658</v>
      </c>
      <c r="M20" s="124">
        <f>+N20</f>
        <v>43657</v>
      </c>
      <c r="N20" s="213">
        <v>43657</v>
      </c>
      <c r="O20" s="97">
        <f>+K20-M20</f>
        <v>1</v>
      </c>
      <c r="P20" s="97">
        <f>+N20-M20</f>
        <v>0</v>
      </c>
      <c r="Q20" s="97">
        <f>+N20-K20</f>
        <v>-1</v>
      </c>
      <c r="R20" s="97">
        <f>+Q20-30</f>
        <v>-31</v>
      </c>
      <c r="S20">
        <v>29</v>
      </c>
      <c r="T20" s="131">
        <f>+P20*D20</f>
        <v>0</v>
      </c>
      <c r="U20" s="131">
        <f>+R20*D20</f>
        <v>-17069.22</v>
      </c>
      <c r="V20" s="118">
        <f>IF(P19&gt;30,200+S19,100+S19)</f>
        <v>122</v>
      </c>
    </row>
    <row r="21" spans="1:22" ht="15">
      <c r="A21" s="212" t="s">
        <v>142</v>
      </c>
      <c r="B21" s="213">
        <v>43647</v>
      </c>
      <c r="C21" s="212" t="s">
        <v>143</v>
      </c>
      <c r="D21" s="214">
        <v>531.9</v>
      </c>
      <c r="F21" s="121"/>
      <c r="K21" s="213">
        <v>43658</v>
      </c>
      <c r="M21" s="124">
        <f>+N21</f>
        <v>43657</v>
      </c>
      <c r="N21" s="213">
        <v>43657</v>
      </c>
      <c r="O21" s="97">
        <f>+K21-M21</f>
        <v>1</v>
      </c>
      <c r="P21" s="97">
        <f>+N21-M21</f>
        <v>0</v>
      </c>
      <c r="Q21" s="97">
        <f>+N21-K21</f>
        <v>-1</v>
      </c>
      <c r="R21" s="97">
        <f>+Q21-30</f>
        <v>-31</v>
      </c>
      <c r="S21">
        <v>29</v>
      </c>
      <c r="T21" s="131">
        <f>+P21*D21</f>
        <v>0</v>
      </c>
      <c r="U21" s="131">
        <f>+R21*D21</f>
        <v>-16488.899999999998</v>
      </c>
      <c r="V21" s="118">
        <f>IF(P20&gt;30,200+S20,100+S20)</f>
        <v>129</v>
      </c>
    </row>
    <row r="22" spans="1:22" ht="15">
      <c r="A22" s="212" t="s">
        <v>144</v>
      </c>
      <c r="B22" s="213">
        <v>43655</v>
      </c>
      <c r="C22" s="212" t="s">
        <v>145</v>
      </c>
      <c r="D22" s="214">
        <v>23.39</v>
      </c>
      <c r="F22" s="121"/>
      <c r="K22" s="213">
        <v>43662</v>
      </c>
      <c r="M22" s="124">
        <f>+N22</f>
        <v>43663</v>
      </c>
      <c r="N22" s="213">
        <v>43663</v>
      </c>
      <c r="O22" s="97">
        <f>+K22-M22</f>
        <v>-1</v>
      </c>
      <c r="P22" s="97">
        <f>+N22-M22</f>
        <v>0</v>
      </c>
      <c r="Q22" s="97">
        <f>+N22-K22</f>
        <v>1</v>
      </c>
      <c r="R22" s="97">
        <f>+Q22-30</f>
        <v>-29</v>
      </c>
      <c r="S22">
        <v>22</v>
      </c>
      <c r="T22" s="131">
        <f>+P22*D22</f>
        <v>0</v>
      </c>
      <c r="U22" s="131">
        <f>+R22*D22</f>
        <v>-678.3100000000001</v>
      </c>
      <c r="V22" s="118">
        <f>IF(P21&gt;30,200+S21,100+S21)</f>
        <v>129</v>
      </c>
    </row>
    <row r="23" spans="1:22" ht="15">
      <c r="A23" s="212" t="s">
        <v>146</v>
      </c>
      <c r="B23" s="213">
        <v>43648</v>
      </c>
      <c r="C23" s="212" t="s">
        <v>147</v>
      </c>
      <c r="D23" s="214">
        <v>3146</v>
      </c>
      <c r="F23" s="121"/>
      <c r="K23" s="213">
        <v>43662</v>
      </c>
      <c r="M23" s="124">
        <f>+N23</f>
        <v>43668</v>
      </c>
      <c r="N23" s="213">
        <v>43668</v>
      </c>
      <c r="O23" s="97">
        <f>+K23-M23</f>
        <v>-6</v>
      </c>
      <c r="P23" s="97">
        <f>+N23-M23</f>
        <v>0</v>
      </c>
      <c r="Q23" s="97">
        <f>+N23-K23</f>
        <v>6</v>
      </c>
      <c r="R23" s="97">
        <f>+Q23-30</f>
        <v>-24</v>
      </c>
      <c r="S23">
        <v>29</v>
      </c>
      <c r="T23" s="131">
        <f>+P23*D23</f>
        <v>0</v>
      </c>
      <c r="U23" s="131">
        <f>+R23*D23</f>
        <v>-75504</v>
      </c>
      <c r="V23" s="118">
        <f>IF(P22&gt;30,200+S22,100+S22)</f>
        <v>122</v>
      </c>
    </row>
    <row r="24" spans="1:22" ht="15">
      <c r="A24" s="212" t="s">
        <v>148</v>
      </c>
      <c r="B24" s="213">
        <v>43647</v>
      </c>
      <c r="C24" s="212" t="s">
        <v>149</v>
      </c>
      <c r="D24" s="214">
        <v>114.95</v>
      </c>
      <c r="F24" s="121"/>
      <c r="K24" s="213">
        <v>43663</v>
      </c>
      <c r="M24" s="124">
        <f>+N24</f>
        <v>43671</v>
      </c>
      <c r="N24" s="213">
        <v>43671</v>
      </c>
      <c r="O24" s="97">
        <f>+K24-M24</f>
        <v>-8</v>
      </c>
      <c r="P24" s="97">
        <f>+N24-M24</f>
        <v>0</v>
      </c>
      <c r="Q24" s="97">
        <f>+N24-K24</f>
        <v>8</v>
      </c>
      <c r="R24" s="97">
        <f>+Q24-30</f>
        <v>-22</v>
      </c>
      <c r="S24">
        <v>21</v>
      </c>
      <c r="T24" s="131">
        <f>+P24*D24</f>
        <v>0</v>
      </c>
      <c r="U24" s="131">
        <f>+R24*D24</f>
        <v>-2528.9</v>
      </c>
      <c r="V24" s="118">
        <f>IF(P23&gt;30,200+S23,100+S23)</f>
        <v>129</v>
      </c>
    </row>
    <row r="25" spans="1:22" ht="15">
      <c r="A25" s="212" t="s">
        <v>150</v>
      </c>
      <c r="B25" s="213">
        <v>43661</v>
      </c>
      <c r="C25" s="212" t="s">
        <v>151</v>
      </c>
      <c r="D25" s="214">
        <v>78.17</v>
      </c>
      <c r="F25" s="121"/>
      <c r="K25" s="213">
        <v>43664</v>
      </c>
      <c r="M25" s="124">
        <f>+N25</f>
        <v>43725</v>
      </c>
      <c r="N25" s="213">
        <v>43725</v>
      </c>
      <c r="O25" s="97">
        <f>+K25-M25</f>
        <v>-61</v>
      </c>
      <c r="P25" s="97">
        <f>+N25-M25</f>
        <v>0</v>
      </c>
      <c r="Q25" s="97">
        <f>+N25-K25</f>
        <v>61</v>
      </c>
      <c r="R25" s="97">
        <f>+Q25-30</f>
        <v>31</v>
      </c>
      <c r="S25">
        <v>29</v>
      </c>
      <c r="T25" s="131">
        <f>+P25*D25</f>
        <v>0</v>
      </c>
      <c r="U25" s="131">
        <f>+R25*D25</f>
        <v>2423.27</v>
      </c>
      <c r="V25" s="118">
        <f>IF(P24&gt;30,200+S24,100+S24)</f>
        <v>121</v>
      </c>
    </row>
    <row r="26" spans="1:22" ht="15">
      <c r="A26" s="212" t="s">
        <v>152</v>
      </c>
      <c r="B26" s="213">
        <v>43665</v>
      </c>
      <c r="C26" s="212" t="s">
        <v>153</v>
      </c>
      <c r="D26" s="214">
        <v>389.75</v>
      </c>
      <c r="F26" s="121"/>
      <c r="K26" s="213">
        <v>43665</v>
      </c>
      <c r="M26" s="124">
        <f>+N26</f>
        <v>43668</v>
      </c>
      <c r="N26" s="213">
        <v>43668</v>
      </c>
      <c r="O26" s="97">
        <f>+K26-M26</f>
        <v>-3</v>
      </c>
      <c r="P26" s="97">
        <f>+N26-M26</f>
        <v>0</v>
      </c>
      <c r="Q26" s="97">
        <f>+N26-K26</f>
        <v>3</v>
      </c>
      <c r="R26" s="97">
        <f>+Q26-30</f>
        <v>-27</v>
      </c>
      <c r="S26">
        <v>20</v>
      </c>
      <c r="T26" s="131">
        <f>+P26*D26</f>
        <v>0</v>
      </c>
      <c r="U26" s="131">
        <f>+R26*D26</f>
        <v>-10523.25</v>
      </c>
      <c r="V26" s="118">
        <f>IF(P25&gt;30,200+S25,100+S25)</f>
        <v>129</v>
      </c>
    </row>
    <row r="27" spans="1:22" ht="15">
      <c r="A27" s="212" t="s">
        <v>154</v>
      </c>
      <c r="B27" s="213">
        <v>43665</v>
      </c>
      <c r="C27" s="212" t="s">
        <v>155</v>
      </c>
      <c r="D27" s="214">
        <v>1599</v>
      </c>
      <c r="F27" s="121"/>
      <c r="K27" s="213">
        <v>43665</v>
      </c>
      <c r="M27" s="124">
        <f>+N27</f>
        <v>43668</v>
      </c>
      <c r="N27" s="213">
        <v>43668</v>
      </c>
      <c r="O27" s="97">
        <f>+K27-M27</f>
        <v>-3</v>
      </c>
      <c r="P27" s="97">
        <f>+N27-M27</f>
        <v>0</v>
      </c>
      <c r="Q27" s="97">
        <f>+N27-K27</f>
        <v>3</v>
      </c>
      <c r="R27" s="97">
        <f>+Q27-30</f>
        <v>-27</v>
      </c>
      <c r="S27">
        <v>22</v>
      </c>
      <c r="T27" s="131">
        <f>+P27*D27</f>
        <v>0</v>
      </c>
      <c r="U27" s="131">
        <f>+R27*D27</f>
        <v>-43173</v>
      </c>
      <c r="V27" s="118">
        <f>IF(P26&gt;30,200+S26,100+S26)</f>
        <v>120</v>
      </c>
    </row>
    <row r="28" spans="1:22" ht="15">
      <c r="A28" s="212" t="s">
        <v>156</v>
      </c>
      <c r="B28" s="213">
        <v>43647</v>
      </c>
      <c r="C28" s="212" t="s">
        <v>157</v>
      </c>
      <c r="D28" s="214">
        <v>35340.37</v>
      </c>
      <c r="F28" s="121"/>
      <c r="K28" s="213">
        <v>43669</v>
      </c>
      <c r="M28" s="124">
        <f>+N28</f>
        <v>43668</v>
      </c>
      <c r="N28" s="213">
        <v>43668</v>
      </c>
      <c r="O28" s="97">
        <f>+K28-M28</f>
        <v>1</v>
      </c>
      <c r="P28" s="97">
        <f>+N28-M28</f>
        <v>0</v>
      </c>
      <c r="Q28" s="97">
        <f>+N28-K28</f>
        <v>-1</v>
      </c>
      <c r="R28" s="97">
        <f>+Q28-30</f>
        <v>-31</v>
      </c>
      <c r="S28">
        <v>21</v>
      </c>
      <c r="T28" s="131">
        <f>+P28*D28</f>
        <v>0</v>
      </c>
      <c r="U28" s="131">
        <f>+R28*D28</f>
        <v>-1095551.47</v>
      </c>
      <c r="V28" s="118">
        <f>IF(P27&gt;30,200+S27,100+S27)</f>
        <v>122</v>
      </c>
    </row>
    <row r="29" spans="1:22" ht="15">
      <c r="A29" s="212" t="s">
        <v>158</v>
      </c>
      <c r="B29" s="213">
        <v>43665</v>
      </c>
      <c r="C29" s="212" t="s">
        <v>159</v>
      </c>
      <c r="D29" s="214">
        <v>125</v>
      </c>
      <c r="F29" s="121"/>
      <c r="K29" s="213">
        <v>43696</v>
      </c>
      <c r="M29" s="124">
        <f>+N29</f>
        <v>43675</v>
      </c>
      <c r="N29" s="213">
        <v>43675</v>
      </c>
      <c r="O29" s="97">
        <f>+K29-M29</f>
        <v>21</v>
      </c>
      <c r="P29" s="97">
        <f>+N29-M29</f>
        <v>0</v>
      </c>
      <c r="Q29" s="97">
        <f>+N29-K29</f>
        <v>-21</v>
      </c>
      <c r="R29" s="97">
        <f>+Q29-30</f>
        <v>-51</v>
      </c>
      <c r="S29">
        <v>29</v>
      </c>
      <c r="T29" s="131">
        <f>+P29*D29</f>
        <v>0</v>
      </c>
      <c r="U29" s="131">
        <f>+R29*D29</f>
        <v>-6375</v>
      </c>
      <c r="V29" s="118">
        <f>IF(P28&gt;30,200+S28,100+S28)</f>
        <v>121</v>
      </c>
    </row>
    <row r="30" spans="1:22" ht="15">
      <c r="A30" s="212" t="s">
        <v>160</v>
      </c>
      <c r="B30" s="213">
        <v>43661</v>
      </c>
      <c r="C30" s="212" t="s">
        <v>161</v>
      </c>
      <c r="D30" s="214">
        <v>340.6</v>
      </c>
      <c r="F30" s="121"/>
      <c r="K30" s="213">
        <v>43696</v>
      </c>
      <c r="M30" s="124">
        <f>+N30</f>
        <v>43675</v>
      </c>
      <c r="N30" s="213">
        <v>43675</v>
      </c>
      <c r="O30" s="97">
        <f>+K30-M30</f>
        <v>21</v>
      </c>
      <c r="P30" s="97">
        <f>+N30-M30</f>
        <v>0</v>
      </c>
      <c r="Q30" s="97">
        <f>+N30-K30</f>
        <v>-21</v>
      </c>
      <c r="R30" s="97">
        <f>+Q30-30</f>
        <v>-51</v>
      </c>
      <c r="S30">
        <v>29</v>
      </c>
      <c r="T30" s="131">
        <f>+P30*D30</f>
        <v>0</v>
      </c>
      <c r="U30" s="131">
        <f>+R30*D30</f>
        <v>-17370.600000000002</v>
      </c>
      <c r="V30" s="118">
        <f>IF(P29&gt;30,200+S29,100+S29)</f>
        <v>129</v>
      </c>
    </row>
    <row r="31" spans="1:22" ht="15">
      <c r="A31" s="212" t="s">
        <v>162</v>
      </c>
      <c r="B31" s="213">
        <v>43657</v>
      </c>
      <c r="C31" s="212" t="s">
        <v>163</v>
      </c>
      <c r="D31" s="214">
        <v>375.1</v>
      </c>
      <c r="F31" s="121"/>
      <c r="K31" s="213">
        <v>43696</v>
      </c>
      <c r="M31" s="124">
        <f>+N31</f>
        <v>43675</v>
      </c>
      <c r="N31" s="213">
        <v>43675</v>
      </c>
      <c r="O31" s="97">
        <f>+K31-M31</f>
        <v>21</v>
      </c>
      <c r="P31" s="97">
        <f>+N31-M31</f>
        <v>0</v>
      </c>
      <c r="Q31" s="97">
        <f>+N31-K31</f>
        <v>-21</v>
      </c>
      <c r="R31" s="97">
        <f>+Q31-30</f>
        <v>-51</v>
      </c>
      <c r="S31">
        <v>69</v>
      </c>
      <c r="T31" s="131">
        <f>+P31*D31</f>
        <v>0</v>
      </c>
      <c r="U31" s="131">
        <f>+R31*D31</f>
        <v>-19130.100000000002</v>
      </c>
      <c r="V31" s="118">
        <f>IF(P30&gt;30,200+S30,100+S30)</f>
        <v>129</v>
      </c>
    </row>
    <row r="32" spans="1:22" ht="15">
      <c r="A32" s="212" t="s">
        <v>164</v>
      </c>
      <c r="B32" s="213">
        <v>43708</v>
      </c>
      <c r="C32" s="212" t="s">
        <v>165</v>
      </c>
      <c r="D32" s="214">
        <v>1080</v>
      </c>
      <c r="F32" s="121"/>
      <c r="K32" s="213">
        <v>43708</v>
      </c>
      <c r="M32" s="124">
        <f>+N32</f>
        <v>43710</v>
      </c>
      <c r="N32" s="213">
        <v>43710</v>
      </c>
      <c r="O32" s="97">
        <f>+K32-M32</f>
        <v>-2</v>
      </c>
      <c r="P32" s="97">
        <f>+N32-M32</f>
        <v>0</v>
      </c>
      <c r="Q32" s="97">
        <f>+N32-K32</f>
        <v>2</v>
      </c>
      <c r="R32" s="97">
        <f>+Q32-30</f>
        <v>-28</v>
      </c>
      <c r="S32">
        <v>29</v>
      </c>
      <c r="T32" s="131">
        <f>+P32*D32</f>
        <v>0</v>
      </c>
      <c r="U32" s="131">
        <f>+R32*D32</f>
        <v>-30240</v>
      </c>
      <c r="V32" s="118">
        <f>IF(P31&gt;30,200+S31,100+S31)</f>
        <v>169</v>
      </c>
    </row>
    <row r="33" spans="1:22" ht="15">
      <c r="A33" s="212" t="s">
        <v>166</v>
      </c>
      <c r="B33" s="213">
        <v>43677</v>
      </c>
      <c r="C33" s="212" t="s">
        <v>167</v>
      </c>
      <c r="D33" s="214">
        <v>147.5</v>
      </c>
      <c r="F33" s="121"/>
      <c r="K33" s="213">
        <v>43697</v>
      </c>
      <c r="M33" s="124">
        <f>+N33</f>
        <v>43697</v>
      </c>
      <c r="N33" s="213">
        <v>43697</v>
      </c>
      <c r="O33" s="97">
        <f>+K33-M33</f>
        <v>0</v>
      </c>
      <c r="P33" s="97">
        <f>+N33-M33</f>
        <v>0</v>
      </c>
      <c r="Q33" s="97">
        <f>+N33-K33</f>
        <v>0</v>
      </c>
      <c r="R33" s="97">
        <f>+Q33-30</f>
        <v>-30</v>
      </c>
      <c r="S33">
        <v>29</v>
      </c>
      <c r="T33" s="131">
        <f>+P33*D33</f>
        <v>0</v>
      </c>
      <c r="U33" s="131">
        <f>+R33*D33</f>
        <v>-4425</v>
      </c>
      <c r="V33" s="118">
        <f>IF(P32&gt;30,200+S32,100+S32)</f>
        <v>129</v>
      </c>
    </row>
    <row r="34" spans="1:22" ht="15">
      <c r="A34" s="212" t="s">
        <v>168</v>
      </c>
      <c r="B34" s="213">
        <v>43666</v>
      </c>
      <c r="C34" s="212" t="s">
        <v>169</v>
      </c>
      <c r="D34" s="214">
        <v>42.5</v>
      </c>
      <c r="F34" s="121"/>
      <c r="K34" s="213">
        <v>43697</v>
      </c>
      <c r="M34" s="124">
        <f>+N34</f>
        <v>43697</v>
      </c>
      <c r="N34" s="213">
        <v>43697</v>
      </c>
      <c r="O34" s="97">
        <f>+K34-M34</f>
        <v>0</v>
      </c>
      <c r="P34" s="97">
        <f>+N34-M34</f>
        <v>0</v>
      </c>
      <c r="Q34" s="97">
        <f>+N34-K34</f>
        <v>0</v>
      </c>
      <c r="R34" s="97">
        <f>+Q34-30</f>
        <v>-30</v>
      </c>
      <c r="S34">
        <v>29</v>
      </c>
      <c r="T34" s="131">
        <f>+P34*D34</f>
        <v>0</v>
      </c>
      <c r="U34" s="131">
        <f>+R34*D34</f>
        <v>-1275</v>
      </c>
      <c r="V34" s="118">
        <f>IF(P33&gt;30,200+S33,100+S33)</f>
        <v>129</v>
      </c>
    </row>
    <row r="35" spans="1:22" ht="15">
      <c r="A35" s="212" t="s">
        <v>170</v>
      </c>
      <c r="B35" s="213">
        <v>43669</v>
      </c>
      <c r="C35" s="212" t="s">
        <v>171</v>
      </c>
      <c r="D35" s="214">
        <v>179.87</v>
      </c>
      <c r="F35" s="121"/>
      <c r="K35" s="213">
        <v>43697</v>
      </c>
      <c r="M35" s="124">
        <f>+N35</f>
        <v>43679</v>
      </c>
      <c r="N35" s="213">
        <v>43679</v>
      </c>
      <c r="O35" s="97">
        <f>+K35-M35</f>
        <v>18</v>
      </c>
      <c r="P35" s="97">
        <f>+N35-M35</f>
        <v>0</v>
      </c>
      <c r="Q35" s="97">
        <f>+N35-K35</f>
        <v>-18</v>
      </c>
      <c r="R35" s="97">
        <f>+Q35-30</f>
        <v>-48</v>
      </c>
      <c r="S35">
        <v>21</v>
      </c>
      <c r="T35" s="131">
        <f>+P35*D35</f>
        <v>0</v>
      </c>
      <c r="U35" s="131">
        <f>+R35*D35</f>
        <v>-8633.76</v>
      </c>
      <c r="V35" s="118">
        <f>IF(P34&gt;30,200+S34,100+S34)</f>
        <v>129</v>
      </c>
    </row>
    <row r="36" spans="1:22" ht="15">
      <c r="A36" s="212" t="s">
        <v>172</v>
      </c>
      <c r="B36" s="213">
        <v>43669</v>
      </c>
      <c r="C36" s="212" t="s">
        <v>173</v>
      </c>
      <c r="D36" s="214">
        <v>159.16</v>
      </c>
      <c r="F36" s="121"/>
      <c r="K36" s="213">
        <v>43697</v>
      </c>
      <c r="M36" s="124">
        <f>+N36</f>
        <v>43672</v>
      </c>
      <c r="N36" s="213">
        <v>43672</v>
      </c>
      <c r="O36" s="97">
        <f>+K36-M36</f>
        <v>25</v>
      </c>
      <c r="P36" s="97">
        <f>+N36-M36</f>
        <v>0</v>
      </c>
      <c r="Q36" s="97">
        <f>+N36-K36</f>
        <v>-25</v>
      </c>
      <c r="R36" s="97">
        <f>+Q36-30</f>
        <v>-55</v>
      </c>
      <c r="S36">
        <v>21</v>
      </c>
      <c r="T36" s="131">
        <f>+P36*D36</f>
        <v>0</v>
      </c>
      <c r="U36" s="131">
        <f>+R36*D36</f>
        <v>-8753.8</v>
      </c>
      <c r="V36" s="118">
        <f>IF(P35&gt;30,200+S35,100+S35)</f>
        <v>121</v>
      </c>
    </row>
    <row r="37" spans="1:22" ht="15">
      <c r="A37" s="212" t="s">
        <v>174</v>
      </c>
      <c r="B37" s="213">
        <v>43677</v>
      </c>
      <c r="C37" s="212" t="s">
        <v>175</v>
      </c>
      <c r="D37" s="214">
        <v>169.4</v>
      </c>
      <c r="F37" s="121"/>
      <c r="K37" s="213">
        <v>43697</v>
      </c>
      <c r="M37" s="124">
        <f>+N37</f>
        <v>43697</v>
      </c>
      <c r="N37" s="213">
        <v>43697</v>
      </c>
      <c r="O37" s="97">
        <f>+K37-M37</f>
        <v>0</v>
      </c>
      <c r="P37" s="97">
        <f>+N37-M37</f>
        <v>0</v>
      </c>
      <c r="Q37" s="97">
        <f>+N37-K37</f>
        <v>0</v>
      </c>
      <c r="R37" s="97">
        <f>+Q37-30</f>
        <v>-30</v>
      </c>
      <c r="S37">
        <v>29</v>
      </c>
      <c r="T37" s="131">
        <f>+P37*D37</f>
        <v>0</v>
      </c>
      <c r="U37" s="131">
        <f>+R37*D37</f>
        <v>-5082</v>
      </c>
      <c r="V37" s="118">
        <f>IF(P36&gt;30,200+S36,100+S36)</f>
        <v>121</v>
      </c>
    </row>
    <row r="38" spans="1:22" ht="15">
      <c r="A38" s="212" t="s">
        <v>176</v>
      </c>
      <c r="B38" s="213">
        <v>43678</v>
      </c>
      <c r="C38" s="212" t="s">
        <v>177</v>
      </c>
      <c r="D38" s="214">
        <v>1016.45</v>
      </c>
      <c r="F38" s="121"/>
      <c r="K38" s="213">
        <v>43697</v>
      </c>
      <c r="M38" s="124">
        <f>+N38</f>
        <v>43697</v>
      </c>
      <c r="N38" s="213">
        <v>43697</v>
      </c>
      <c r="O38" s="97">
        <f>+K38-M38</f>
        <v>0</v>
      </c>
      <c r="P38" s="97">
        <f>+N38-M38</f>
        <v>0</v>
      </c>
      <c r="Q38" s="97">
        <f>+N38-K38</f>
        <v>0</v>
      </c>
      <c r="R38" s="97">
        <f>+Q38-30</f>
        <v>-30</v>
      </c>
      <c r="S38">
        <v>29</v>
      </c>
      <c r="T38" s="131">
        <f>+P38*D38</f>
        <v>0</v>
      </c>
      <c r="U38" s="131">
        <f>+R38*D38</f>
        <v>-30493.5</v>
      </c>
      <c r="V38" s="118">
        <f>IF(P37&gt;30,200+S37,100+S37)</f>
        <v>129</v>
      </c>
    </row>
    <row r="39" spans="1:22" ht="15">
      <c r="A39" s="212" t="s">
        <v>178</v>
      </c>
      <c r="B39" s="213">
        <v>43662</v>
      </c>
      <c r="C39" s="212" t="s">
        <v>179</v>
      </c>
      <c r="D39" s="214">
        <v>40</v>
      </c>
      <c r="F39" s="121"/>
      <c r="K39" s="213">
        <v>43697</v>
      </c>
      <c r="M39" s="124">
        <f>+N39</f>
        <v>43661</v>
      </c>
      <c r="N39" s="213">
        <v>43661</v>
      </c>
      <c r="O39" s="97">
        <f>+K39-M39</f>
        <v>36</v>
      </c>
      <c r="P39" s="97">
        <f>+N39-M39</f>
        <v>0</v>
      </c>
      <c r="Q39" s="97">
        <f>+N39-K39</f>
        <v>-36</v>
      </c>
      <c r="R39" s="97">
        <f>+Q39-30</f>
        <v>-66</v>
      </c>
      <c r="S39">
        <v>29</v>
      </c>
      <c r="T39" s="131">
        <f>+P39*D39</f>
        <v>0</v>
      </c>
      <c r="U39" s="131">
        <f>+R39*D39</f>
        <v>-2640</v>
      </c>
      <c r="V39" s="118">
        <f>IF(P38&gt;30,200+S38,100+S38)</f>
        <v>129</v>
      </c>
    </row>
    <row r="40" spans="1:22" ht="15">
      <c r="A40" s="212" t="s">
        <v>180</v>
      </c>
      <c r="B40" s="213">
        <v>43663</v>
      </c>
      <c r="C40" s="212" t="s">
        <v>181</v>
      </c>
      <c r="D40" s="214">
        <v>2178</v>
      </c>
      <c r="F40" s="121"/>
      <c r="K40" s="213">
        <v>43677</v>
      </c>
      <c r="M40" s="124">
        <f>+N40</f>
        <v>43696</v>
      </c>
      <c r="N40" s="213">
        <v>43696</v>
      </c>
      <c r="O40" s="97">
        <f>+K40-M40</f>
        <v>-19</v>
      </c>
      <c r="P40" s="97">
        <f>+N40-M40</f>
        <v>0</v>
      </c>
      <c r="Q40" s="97">
        <f>+N40-K40</f>
        <v>19</v>
      </c>
      <c r="R40" s="97">
        <f>+Q40-30</f>
        <v>-11</v>
      </c>
      <c r="S40">
        <v>69</v>
      </c>
      <c r="T40" s="131">
        <f>+P40*D40</f>
        <v>0</v>
      </c>
      <c r="U40" s="131">
        <f>+R40*D40</f>
        <v>-23958</v>
      </c>
      <c r="V40" s="118">
        <f>IF(P39&gt;30,200+S39,100+S39)</f>
        <v>129</v>
      </c>
    </row>
    <row r="41" spans="1:22" ht="15">
      <c r="A41" s="212" t="s">
        <v>182</v>
      </c>
      <c r="B41" s="213">
        <v>43647</v>
      </c>
      <c r="C41" s="212" t="s">
        <v>183</v>
      </c>
      <c r="D41" s="214">
        <v>82.28</v>
      </c>
      <c r="F41" s="121"/>
      <c r="K41" s="213">
        <v>43647</v>
      </c>
      <c r="M41" s="124">
        <f>+N41</f>
        <v>43697</v>
      </c>
      <c r="N41" s="213">
        <v>43697</v>
      </c>
      <c r="O41" s="97">
        <f>+K41-M41</f>
        <v>-50</v>
      </c>
      <c r="P41" s="97">
        <f>+N41-M41</f>
        <v>0</v>
      </c>
      <c r="Q41" s="97">
        <f>+N41-K41</f>
        <v>50</v>
      </c>
      <c r="R41" s="97">
        <f>+Q41-30</f>
        <v>20</v>
      </c>
      <c r="S41">
        <v>21</v>
      </c>
      <c r="T41" s="131">
        <f>+P41*D41</f>
        <v>0</v>
      </c>
      <c r="U41" s="131">
        <f>+R41*D41</f>
        <v>1645.6</v>
      </c>
      <c r="V41" s="118">
        <f>IF(P40&gt;30,200+S40,100+S40)</f>
        <v>169</v>
      </c>
    </row>
    <row r="42" spans="1:22" ht="15">
      <c r="A42" s="212" t="s">
        <v>184</v>
      </c>
      <c r="B42" s="213">
        <v>43678</v>
      </c>
      <c r="C42" s="212" t="s">
        <v>185</v>
      </c>
      <c r="D42" s="214">
        <v>114.95</v>
      </c>
      <c r="F42" s="121"/>
      <c r="K42" s="213">
        <v>43697</v>
      </c>
      <c r="M42" s="124">
        <f>+N42</f>
        <v>43703</v>
      </c>
      <c r="N42" s="213">
        <v>43703</v>
      </c>
      <c r="O42" s="97">
        <f>+K42-M42</f>
        <v>-6</v>
      </c>
      <c r="P42" s="97">
        <f>+N42-M42</f>
        <v>0</v>
      </c>
      <c r="Q42" s="97">
        <f>+N42-K42</f>
        <v>6</v>
      </c>
      <c r="R42" s="97">
        <f>+Q42-30</f>
        <v>-24</v>
      </c>
      <c r="S42">
        <v>21</v>
      </c>
      <c r="T42" s="131">
        <f>+P42*D42</f>
        <v>0</v>
      </c>
      <c r="U42" s="131">
        <f>+R42*D42</f>
        <v>-2758.8</v>
      </c>
      <c r="V42" s="118">
        <f>IF(P41&gt;30,200+S41,100+S41)</f>
        <v>121</v>
      </c>
    </row>
    <row r="43" spans="1:22" ht="15">
      <c r="A43" s="212" t="s">
        <v>186</v>
      </c>
      <c r="B43" s="213">
        <v>43676</v>
      </c>
      <c r="C43" s="212" t="s">
        <v>187</v>
      </c>
      <c r="D43" s="214">
        <v>23.84</v>
      </c>
      <c r="F43" s="121"/>
      <c r="K43" s="213">
        <v>43676</v>
      </c>
      <c r="M43" s="124">
        <f>+N43</f>
        <v>43693</v>
      </c>
      <c r="N43" s="213">
        <v>43693</v>
      </c>
      <c r="O43" s="97">
        <f>+K43-M43</f>
        <v>-17</v>
      </c>
      <c r="P43" s="97">
        <f>+N43-M43</f>
        <v>0</v>
      </c>
      <c r="Q43" s="97">
        <f>+N43-K43</f>
        <v>17</v>
      </c>
      <c r="R43" s="97">
        <f>+Q43-30</f>
        <v>-13</v>
      </c>
      <c r="S43">
        <v>29</v>
      </c>
      <c r="T43" s="131">
        <f>+P43*D43</f>
        <v>0</v>
      </c>
      <c r="U43" s="131">
        <f>+R43*D43</f>
        <v>-309.92</v>
      </c>
      <c r="V43" s="118">
        <f>IF(P42&gt;30,200+S42,100+S42)</f>
        <v>121</v>
      </c>
    </row>
    <row r="44" spans="1:22" ht="15">
      <c r="A44" s="212" t="s">
        <v>188</v>
      </c>
      <c r="B44" s="213">
        <v>43677</v>
      </c>
      <c r="C44" s="212" t="s">
        <v>189</v>
      </c>
      <c r="D44" s="214">
        <v>1108.17</v>
      </c>
      <c r="F44" s="121"/>
      <c r="K44" s="213">
        <v>43677</v>
      </c>
      <c r="M44" s="124">
        <f>+N44</f>
        <v>43677</v>
      </c>
      <c r="N44" s="213">
        <v>43677</v>
      </c>
      <c r="O44" s="97">
        <f>+K44-M44</f>
        <v>0</v>
      </c>
      <c r="P44" s="97">
        <f>+N44-M44</f>
        <v>0</v>
      </c>
      <c r="Q44" s="97">
        <f>+N44-K44</f>
        <v>0</v>
      </c>
      <c r="R44" s="97">
        <f>+Q44-30</f>
        <v>-30</v>
      </c>
      <c r="S44">
        <v>29</v>
      </c>
      <c r="T44" s="131">
        <f>+P44*D44</f>
        <v>0</v>
      </c>
      <c r="U44" s="131">
        <f>+R44*D44</f>
        <v>-33245.100000000006</v>
      </c>
      <c r="V44" s="118">
        <f>IF(P43&gt;30,200+S43,100+S43)</f>
        <v>129</v>
      </c>
    </row>
    <row r="45" spans="1:22" ht="15">
      <c r="A45" s="212" t="s">
        <v>190</v>
      </c>
      <c r="B45" s="213">
        <v>43668</v>
      </c>
      <c r="C45" s="212" t="s">
        <v>191</v>
      </c>
      <c r="D45" s="214">
        <v>35.8</v>
      </c>
      <c r="F45" s="121"/>
      <c r="K45" s="213">
        <v>43698</v>
      </c>
      <c r="M45" s="124">
        <f>+N45</f>
        <v>43697</v>
      </c>
      <c r="N45" s="213">
        <v>43697</v>
      </c>
      <c r="O45" s="97">
        <f>+K45-M45</f>
        <v>1</v>
      </c>
      <c r="P45" s="97">
        <f>+N45-M45</f>
        <v>0</v>
      </c>
      <c r="Q45" s="97">
        <f>+N45-K45</f>
        <v>-1</v>
      </c>
      <c r="R45" s="97">
        <f>+Q45-30</f>
        <v>-31</v>
      </c>
      <c r="S45">
        <v>29</v>
      </c>
      <c r="T45" s="131">
        <f>+P45*D45</f>
        <v>0</v>
      </c>
      <c r="U45" s="131">
        <f>+R45*D45</f>
        <v>-1109.8</v>
      </c>
      <c r="V45" s="118">
        <f>IF(P44&gt;30,200+S44,100+S44)</f>
        <v>129</v>
      </c>
    </row>
    <row r="46" spans="1:22" ht="15">
      <c r="A46" s="212" t="s">
        <v>192</v>
      </c>
      <c r="B46" s="213">
        <v>43668</v>
      </c>
      <c r="C46" s="212" t="s">
        <v>193</v>
      </c>
      <c r="D46" s="214">
        <v>629.2</v>
      </c>
      <c r="F46" s="121"/>
      <c r="K46" s="213">
        <v>43698</v>
      </c>
      <c r="M46" s="124">
        <f>+N46</f>
        <v>43675</v>
      </c>
      <c r="N46" s="213">
        <v>43675</v>
      </c>
      <c r="O46" s="97">
        <f>+K46-M46</f>
        <v>23</v>
      </c>
      <c r="P46" s="97">
        <f>+N46-M46</f>
        <v>0</v>
      </c>
      <c r="Q46" s="97">
        <f>+N46-K46</f>
        <v>-23</v>
      </c>
      <c r="R46" s="97">
        <f>+Q46-30</f>
        <v>-53</v>
      </c>
      <c r="S46">
        <v>21</v>
      </c>
      <c r="T46" s="131">
        <f>+P46*D46</f>
        <v>0</v>
      </c>
      <c r="U46" s="131">
        <f>+R46*D46</f>
        <v>-33347.600000000006</v>
      </c>
      <c r="V46" s="118">
        <f>IF(P45&gt;30,200+S45,100+S45)</f>
        <v>129</v>
      </c>
    </row>
    <row r="47" spans="1:22" ht="15">
      <c r="A47" s="212" t="s">
        <v>194</v>
      </c>
      <c r="B47" s="213">
        <v>43676</v>
      </c>
      <c r="C47" s="212" t="s">
        <v>195</v>
      </c>
      <c r="D47" s="214">
        <v>158.13</v>
      </c>
      <c r="F47" s="121"/>
      <c r="K47" s="213">
        <v>43698</v>
      </c>
      <c r="M47" s="124">
        <f>+N47</f>
        <v>43706</v>
      </c>
      <c r="N47" s="213">
        <v>43706</v>
      </c>
      <c r="O47" s="97">
        <f>+K47-M47</f>
        <v>-8</v>
      </c>
      <c r="P47" s="97">
        <f>+N47-M47</f>
        <v>0</v>
      </c>
      <c r="Q47" s="97">
        <f>+N47-K47</f>
        <v>8</v>
      </c>
      <c r="R47" s="97">
        <f>+Q47-30</f>
        <v>-22</v>
      </c>
      <c r="S47">
        <v>29</v>
      </c>
      <c r="T47" s="131">
        <f>+P47*D47</f>
        <v>0</v>
      </c>
      <c r="U47" s="131">
        <f>+R47*D47</f>
        <v>-3478.8599999999997</v>
      </c>
      <c r="V47" s="118">
        <f>IF(P46&gt;30,200+S46,100+S46)</f>
        <v>121</v>
      </c>
    </row>
    <row r="48" spans="1:22" ht="15">
      <c r="A48" s="212" t="s">
        <v>196</v>
      </c>
      <c r="B48" s="213">
        <v>43676</v>
      </c>
      <c r="C48" s="212" t="s">
        <v>197</v>
      </c>
      <c r="D48" s="214">
        <v>17.3</v>
      </c>
      <c r="F48" s="121"/>
      <c r="K48" s="213">
        <v>43676</v>
      </c>
      <c r="M48" s="124">
        <f>+N48</f>
        <v>43693</v>
      </c>
      <c r="N48" s="213">
        <v>43693</v>
      </c>
      <c r="O48" s="97">
        <f>+K48-M48</f>
        <v>-17</v>
      </c>
      <c r="P48" s="97">
        <f>+N48-M48</f>
        <v>0</v>
      </c>
      <c r="Q48" s="97">
        <f>+N48-K48</f>
        <v>17</v>
      </c>
      <c r="R48" s="97">
        <f>+Q48-30</f>
        <v>-13</v>
      </c>
      <c r="S48">
        <v>29</v>
      </c>
      <c r="T48" s="131">
        <f>+P48*D48</f>
        <v>0</v>
      </c>
      <c r="U48" s="131">
        <f>+R48*D48</f>
        <v>-224.9</v>
      </c>
      <c r="V48" s="118">
        <f>IF(P47&gt;30,200+S47,100+S47)</f>
        <v>129</v>
      </c>
    </row>
    <row r="49" spans="1:22" ht="15">
      <c r="A49" s="212" t="s">
        <v>198</v>
      </c>
      <c r="B49" s="213">
        <v>43676</v>
      </c>
      <c r="C49" s="212" t="s">
        <v>199</v>
      </c>
      <c r="D49" s="214">
        <v>16.54</v>
      </c>
      <c r="F49" s="121"/>
      <c r="K49" s="213">
        <v>43676</v>
      </c>
      <c r="M49" s="124">
        <f>+N49</f>
        <v>43693</v>
      </c>
      <c r="N49" s="213">
        <v>43693</v>
      </c>
      <c r="O49" s="97">
        <f>+K49-M49</f>
        <v>-17</v>
      </c>
      <c r="P49" s="97">
        <f>+N49-M49</f>
        <v>0</v>
      </c>
      <c r="Q49" s="97">
        <f>+N49-K49</f>
        <v>17</v>
      </c>
      <c r="R49" s="97">
        <f>+Q49-30</f>
        <v>-13</v>
      </c>
      <c r="S49">
        <v>29</v>
      </c>
      <c r="T49" s="131">
        <f>+P49*D49</f>
        <v>0</v>
      </c>
      <c r="U49" s="131">
        <f>+R49*D49</f>
        <v>-215.01999999999998</v>
      </c>
      <c r="V49" s="118">
        <f>IF(P48&gt;30,200+S48,100+S48)</f>
        <v>129</v>
      </c>
    </row>
    <row r="50" spans="1:22" ht="15">
      <c r="A50" s="212" t="s">
        <v>200</v>
      </c>
      <c r="B50" s="213">
        <v>43677</v>
      </c>
      <c r="C50" s="212" t="s">
        <v>201</v>
      </c>
      <c r="D50" s="214">
        <v>464.86</v>
      </c>
      <c r="F50" s="121"/>
      <c r="K50" s="213">
        <v>43698</v>
      </c>
      <c r="M50" s="124">
        <f>+N50</f>
        <v>43706</v>
      </c>
      <c r="N50" s="213">
        <v>43706</v>
      </c>
      <c r="O50" s="97">
        <f>+K50-M50</f>
        <v>-8</v>
      </c>
      <c r="P50" s="97">
        <f>+N50-M50</f>
        <v>0</v>
      </c>
      <c r="Q50" s="97">
        <f>+N50-K50</f>
        <v>8</v>
      </c>
      <c r="R50" s="97">
        <f>+Q50-30</f>
        <v>-22</v>
      </c>
      <c r="S50">
        <v>29</v>
      </c>
      <c r="T50" s="131">
        <f>+P50*D50</f>
        <v>0</v>
      </c>
      <c r="U50" s="131">
        <f>+R50*D50</f>
        <v>-10226.92</v>
      </c>
      <c r="V50" s="118">
        <f>IF(P49&gt;30,200+S49,100+S49)</f>
        <v>129</v>
      </c>
    </row>
    <row r="51" spans="1:22" ht="15">
      <c r="A51" s="212" t="s">
        <v>202</v>
      </c>
      <c r="B51" s="213">
        <v>43676</v>
      </c>
      <c r="C51" s="212" t="s">
        <v>203</v>
      </c>
      <c r="D51" s="214">
        <v>32.94</v>
      </c>
      <c r="F51" s="121"/>
      <c r="K51" s="213">
        <v>43676</v>
      </c>
      <c r="M51" s="124">
        <f>+N51</f>
        <v>43693</v>
      </c>
      <c r="N51" s="213">
        <v>43693</v>
      </c>
      <c r="O51" s="97">
        <f>+K51-M51</f>
        <v>-17</v>
      </c>
      <c r="P51" s="97">
        <f>+N51-M51</f>
        <v>0</v>
      </c>
      <c r="Q51" s="97">
        <f>+N51-K51</f>
        <v>17</v>
      </c>
      <c r="R51" s="97">
        <f>+Q51-30</f>
        <v>-13</v>
      </c>
      <c r="S51">
        <v>29</v>
      </c>
      <c r="T51" s="131">
        <f>+P51*D51</f>
        <v>0</v>
      </c>
      <c r="U51" s="131">
        <f>+R51*D51</f>
        <v>-428.21999999999997</v>
      </c>
      <c r="V51" s="118">
        <f>IF(P50&gt;30,200+S50,100+S50)</f>
        <v>129</v>
      </c>
    </row>
    <row r="52" spans="1:22" ht="15">
      <c r="A52" s="212" t="s">
        <v>204</v>
      </c>
      <c r="B52" s="213">
        <v>43676</v>
      </c>
      <c r="C52" s="212" t="s">
        <v>205</v>
      </c>
      <c r="D52" s="214">
        <v>31.39</v>
      </c>
      <c r="F52" s="121"/>
      <c r="K52" s="213">
        <v>43676</v>
      </c>
      <c r="M52" s="124">
        <f>+N52</f>
        <v>43693</v>
      </c>
      <c r="N52" s="213">
        <v>43693</v>
      </c>
      <c r="O52" s="97">
        <f>+K52-M52</f>
        <v>-17</v>
      </c>
      <c r="P52" s="97">
        <f>+N52-M52</f>
        <v>0</v>
      </c>
      <c r="Q52" s="97">
        <f>+N52-K52</f>
        <v>17</v>
      </c>
      <c r="R52" s="97">
        <f>+Q52-30</f>
        <v>-13</v>
      </c>
      <c r="S52">
        <v>29</v>
      </c>
      <c r="T52" s="131">
        <f>+P52*D52</f>
        <v>0</v>
      </c>
      <c r="U52" s="131">
        <f>+R52*D52</f>
        <v>-408.07</v>
      </c>
      <c r="V52" s="118">
        <f>IF(P51&gt;30,200+S51,100+S51)</f>
        <v>129</v>
      </c>
    </row>
    <row r="53" spans="1:22" ht="15">
      <c r="A53" s="212" t="s">
        <v>206</v>
      </c>
      <c r="B53" s="213">
        <v>43677</v>
      </c>
      <c r="C53" s="212" t="s">
        <v>207</v>
      </c>
      <c r="D53" s="214">
        <v>88.64</v>
      </c>
      <c r="F53" s="121"/>
      <c r="K53" s="213">
        <v>43699</v>
      </c>
      <c r="M53" s="124">
        <f>+N53</f>
        <v>43683</v>
      </c>
      <c r="N53" s="213">
        <v>43683</v>
      </c>
      <c r="O53" s="97">
        <f>+K53-M53</f>
        <v>16</v>
      </c>
      <c r="P53" s="97">
        <f>+N53-M53</f>
        <v>0</v>
      </c>
      <c r="Q53" s="97">
        <f>+N53-K53</f>
        <v>-16</v>
      </c>
      <c r="R53" s="97">
        <f>+Q53-30</f>
        <v>-46</v>
      </c>
      <c r="S53">
        <v>29</v>
      </c>
      <c r="T53" s="131">
        <f>+P53*D53</f>
        <v>0</v>
      </c>
      <c r="U53" s="131">
        <f>+R53*D53</f>
        <v>-4077.44</v>
      </c>
      <c r="V53" s="118">
        <f>IF(P52&gt;30,200+S52,100+S52)</f>
        <v>129</v>
      </c>
    </row>
    <row r="54" spans="1:22" ht="15">
      <c r="A54" s="212" t="s">
        <v>208</v>
      </c>
      <c r="B54" s="213">
        <v>43677</v>
      </c>
      <c r="C54" s="212" t="s">
        <v>209</v>
      </c>
      <c r="D54" s="214">
        <v>1464.06</v>
      </c>
      <c r="F54" s="121"/>
      <c r="K54" s="213">
        <v>43677</v>
      </c>
      <c r="M54" s="124">
        <f>+N54</f>
        <v>43677</v>
      </c>
      <c r="N54" s="213">
        <v>43677</v>
      </c>
      <c r="O54" s="97">
        <f>+K54-M54</f>
        <v>0</v>
      </c>
      <c r="P54" s="97">
        <f>+N54-M54</f>
        <v>0</v>
      </c>
      <c r="Q54" s="97">
        <f>+N54-K54</f>
        <v>0</v>
      </c>
      <c r="R54" s="97">
        <f>+Q54-30</f>
        <v>-30</v>
      </c>
      <c r="S54">
        <v>29</v>
      </c>
      <c r="T54" s="131">
        <f>+P54*D54</f>
        <v>0</v>
      </c>
      <c r="U54" s="131">
        <f>+R54*D54</f>
        <v>-43921.799999999996</v>
      </c>
      <c r="V54" s="118">
        <f>IF(P53&gt;30,200+S53,100+S53)</f>
        <v>129</v>
      </c>
    </row>
    <row r="55" spans="1:22" ht="15">
      <c r="A55" s="212" t="s">
        <v>210</v>
      </c>
      <c r="B55" s="213">
        <v>43676</v>
      </c>
      <c r="C55" s="212" t="s">
        <v>211</v>
      </c>
      <c r="D55" s="214">
        <v>575.92</v>
      </c>
      <c r="F55" s="121"/>
      <c r="K55" s="213">
        <v>43676</v>
      </c>
      <c r="M55" s="124">
        <f>+N55</f>
        <v>43693</v>
      </c>
      <c r="N55" s="213">
        <v>43693</v>
      </c>
      <c r="O55" s="97">
        <f>+K55-M55</f>
        <v>-17</v>
      </c>
      <c r="P55" s="97">
        <f>+N55-M55</f>
        <v>0</v>
      </c>
      <c r="Q55" s="97">
        <f>+N55-K55</f>
        <v>17</v>
      </c>
      <c r="R55" s="97">
        <f>+Q55-30</f>
        <v>-13</v>
      </c>
      <c r="S55">
        <v>29</v>
      </c>
      <c r="T55" s="131">
        <f>+P55*D55</f>
        <v>0</v>
      </c>
      <c r="U55" s="131">
        <f>+R55*D55</f>
        <v>-7486.959999999999</v>
      </c>
      <c r="V55" s="118">
        <f>IF(P54&gt;30,200+S54,100+S54)</f>
        <v>129</v>
      </c>
    </row>
    <row r="56" spans="1:22" ht="15">
      <c r="A56" s="212" t="s">
        <v>212</v>
      </c>
      <c r="B56" s="213">
        <v>43676</v>
      </c>
      <c r="C56" s="212" t="s">
        <v>213</v>
      </c>
      <c r="D56" s="214">
        <v>328.39</v>
      </c>
      <c r="F56" s="121"/>
      <c r="K56" s="213">
        <v>43676</v>
      </c>
      <c r="M56" s="124">
        <f>+N56</f>
        <v>43693</v>
      </c>
      <c r="N56" s="213">
        <v>43693</v>
      </c>
      <c r="O56" s="97">
        <f>+K56-M56</f>
        <v>-17</v>
      </c>
      <c r="P56" s="97">
        <f>+N56-M56</f>
        <v>0</v>
      </c>
      <c r="Q56" s="97">
        <f>+N56-K56</f>
        <v>17</v>
      </c>
      <c r="R56" s="97">
        <f>+Q56-30</f>
        <v>-13</v>
      </c>
      <c r="S56">
        <v>29</v>
      </c>
      <c r="T56" s="131">
        <f>+P56*D56</f>
        <v>0</v>
      </c>
      <c r="U56" s="131">
        <f>+R56*D56</f>
        <v>-4269.07</v>
      </c>
      <c r="V56" s="118">
        <f>IF(P55&gt;30,200+S55,100+S55)</f>
        <v>129</v>
      </c>
    </row>
    <row r="57" spans="1:22" ht="15">
      <c r="A57" s="212" t="s">
        <v>214</v>
      </c>
      <c r="B57" s="213">
        <v>43676</v>
      </c>
      <c r="C57" s="212" t="s">
        <v>215</v>
      </c>
      <c r="D57" s="214">
        <v>241.78</v>
      </c>
      <c r="F57" s="121"/>
      <c r="K57" s="213">
        <v>43676</v>
      </c>
      <c r="M57" s="124">
        <f>+N57</f>
        <v>43693</v>
      </c>
      <c r="N57" s="213">
        <v>43693</v>
      </c>
      <c r="O57" s="97">
        <f>+K57-M57</f>
        <v>-17</v>
      </c>
      <c r="P57" s="97">
        <f>+N57-M57</f>
        <v>0</v>
      </c>
      <c r="Q57" s="97">
        <f>+N57-K57</f>
        <v>17</v>
      </c>
      <c r="R57" s="97">
        <f>+Q57-30</f>
        <v>-13</v>
      </c>
      <c r="S57">
        <v>29</v>
      </c>
      <c r="T57" s="131">
        <f>+P57*D57</f>
        <v>0</v>
      </c>
      <c r="U57" s="131">
        <f>+R57*D57</f>
        <v>-3143.14</v>
      </c>
      <c r="V57" s="118">
        <f>IF(P56&gt;30,200+S56,100+S56)</f>
        <v>129</v>
      </c>
    </row>
    <row r="58" spans="1:22" ht="15">
      <c r="A58" s="212" t="s">
        <v>216</v>
      </c>
      <c r="B58" s="213">
        <v>43677</v>
      </c>
      <c r="C58" s="212" t="s">
        <v>217</v>
      </c>
      <c r="D58" s="214">
        <v>399.3</v>
      </c>
      <c r="F58" s="121"/>
      <c r="K58" s="213">
        <v>43699</v>
      </c>
      <c r="M58" s="124">
        <f>+N58</f>
        <v>43721</v>
      </c>
      <c r="N58" s="213">
        <v>43721</v>
      </c>
      <c r="O58" s="97">
        <f>+K58-M58</f>
        <v>-22</v>
      </c>
      <c r="P58" s="97">
        <f>+N58-M58</f>
        <v>0</v>
      </c>
      <c r="Q58" s="97">
        <f>+N58-K58</f>
        <v>22</v>
      </c>
      <c r="R58" s="97">
        <f>+Q58-30</f>
        <v>-8</v>
      </c>
      <c r="S58">
        <v>29</v>
      </c>
      <c r="T58" s="131">
        <f>+P58*D58</f>
        <v>0</v>
      </c>
      <c r="U58" s="131">
        <f>+R58*D58</f>
        <v>-3194.4</v>
      </c>
      <c r="V58" s="118">
        <f>IF(P57&gt;30,200+S57,100+S57)</f>
        <v>129</v>
      </c>
    </row>
    <row r="59" spans="1:22" ht="15">
      <c r="A59" s="212" t="s">
        <v>218</v>
      </c>
      <c r="B59" s="213">
        <v>43677</v>
      </c>
      <c r="C59" s="212" t="s">
        <v>219</v>
      </c>
      <c r="D59" s="214">
        <v>2843.5</v>
      </c>
      <c r="F59" s="121"/>
      <c r="K59" s="213">
        <v>43699</v>
      </c>
      <c r="M59" s="124">
        <f>+N59</f>
        <v>43708</v>
      </c>
      <c r="N59" s="213">
        <v>43708</v>
      </c>
      <c r="O59" s="97">
        <f>+K59-M59</f>
        <v>-9</v>
      </c>
      <c r="P59" s="97">
        <f>+N59-M59</f>
        <v>0</v>
      </c>
      <c r="Q59" s="97">
        <f>+N59-K59</f>
        <v>9</v>
      </c>
      <c r="R59" s="97">
        <f>+Q59-30</f>
        <v>-21</v>
      </c>
      <c r="S59">
        <v>29</v>
      </c>
      <c r="T59" s="131">
        <f>+P59*D59</f>
        <v>0</v>
      </c>
      <c r="U59" s="131">
        <f>+R59*D59</f>
        <v>-59713.5</v>
      </c>
      <c r="V59" s="118">
        <f>IF(P58&gt;30,200+S58,100+S58)</f>
        <v>129</v>
      </c>
    </row>
    <row r="60" spans="1:22" ht="15">
      <c r="A60" s="212" t="s">
        <v>220</v>
      </c>
      <c r="B60" s="213">
        <v>43647</v>
      </c>
      <c r="C60" s="212" t="s">
        <v>221</v>
      </c>
      <c r="D60" s="214">
        <v>1.32</v>
      </c>
      <c r="F60" s="121"/>
      <c r="K60" s="213">
        <v>43647</v>
      </c>
      <c r="M60" s="124">
        <f>+N60</f>
        <v>43696</v>
      </c>
      <c r="N60" s="213">
        <v>43696</v>
      </c>
      <c r="O60" s="97">
        <f>+K60-M60</f>
        <v>-49</v>
      </c>
      <c r="P60" s="97">
        <f>+N60-M60</f>
        <v>0</v>
      </c>
      <c r="Q60" s="97">
        <f>+N60-K60</f>
        <v>49</v>
      </c>
      <c r="R60" s="97">
        <f>+Q60-30</f>
        <v>19</v>
      </c>
      <c r="S60">
        <v>29</v>
      </c>
      <c r="T60" s="131">
        <f>+P60*D60</f>
        <v>0</v>
      </c>
      <c r="U60" s="131">
        <f>+R60*D60</f>
        <v>25.080000000000002</v>
      </c>
      <c r="V60" s="118">
        <f>IF(P59&gt;30,200+S59,100+S59)</f>
        <v>129</v>
      </c>
    </row>
    <row r="61" spans="1:22" ht="15">
      <c r="A61" s="212" t="s">
        <v>222</v>
      </c>
      <c r="B61" s="213">
        <v>43658</v>
      </c>
      <c r="C61" s="212" t="s">
        <v>223</v>
      </c>
      <c r="D61" s="214">
        <v>240.68</v>
      </c>
      <c r="F61" s="121"/>
      <c r="K61" s="213">
        <v>43703</v>
      </c>
      <c r="M61" s="124">
        <f>+N61</f>
        <v>43706</v>
      </c>
      <c r="N61" s="213">
        <v>43706</v>
      </c>
      <c r="O61" s="97">
        <f>+K61-M61</f>
        <v>-3</v>
      </c>
      <c r="P61" s="97">
        <f>+N61-M61</f>
        <v>0</v>
      </c>
      <c r="Q61" s="97">
        <f>+N61-K61</f>
        <v>3</v>
      </c>
      <c r="R61" s="97">
        <f>+Q61-30</f>
        <v>-27</v>
      </c>
      <c r="S61">
        <v>29</v>
      </c>
      <c r="T61" s="131">
        <f>+P61*D61</f>
        <v>0</v>
      </c>
      <c r="U61" s="131">
        <f>+R61*D61</f>
        <v>-6498.360000000001</v>
      </c>
      <c r="V61" s="118">
        <f>IF(P60&gt;30,200+S60,100+S60)</f>
        <v>129</v>
      </c>
    </row>
    <row r="62" spans="1:22" ht="15">
      <c r="A62" s="212" t="s">
        <v>224</v>
      </c>
      <c r="B62" s="213">
        <v>43677</v>
      </c>
      <c r="C62" s="212" t="s">
        <v>225</v>
      </c>
      <c r="D62" s="214">
        <v>15.71</v>
      </c>
      <c r="F62" s="121"/>
      <c r="K62" s="213">
        <v>43703</v>
      </c>
      <c r="M62" s="124">
        <f>+N62</f>
        <v>43697</v>
      </c>
      <c r="N62" s="213">
        <v>43697</v>
      </c>
      <c r="O62" s="97">
        <f>+K62-M62</f>
        <v>6</v>
      </c>
      <c r="P62" s="97">
        <f>+N62-M62</f>
        <v>0</v>
      </c>
      <c r="Q62" s="97">
        <f>+N62-K62</f>
        <v>-6</v>
      </c>
      <c r="R62" s="97">
        <f>+Q62-30</f>
        <v>-36</v>
      </c>
      <c r="S62">
        <v>29</v>
      </c>
      <c r="T62" s="131">
        <f>+P62*D62</f>
        <v>0</v>
      </c>
      <c r="U62" s="131">
        <f>+R62*D62</f>
        <v>-565.5600000000001</v>
      </c>
      <c r="V62" s="118">
        <f>IF(P61&gt;30,200+S61,100+S61)</f>
        <v>129</v>
      </c>
    </row>
    <row r="63" spans="1:22" ht="15">
      <c r="A63" s="212" t="s">
        <v>226</v>
      </c>
      <c r="B63" s="213">
        <v>43677</v>
      </c>
      <c r="C63" s="212" t="s">
        <v>227</v>
      </c>
      <c r="D63" s="214">
        <v>94.61</v>
      </c>
      <c r="F63" s="121"/>
      <c r="K63" s="213">
        <v>43703</v>
      </c>
      <c r="M63" s="124">
        <f>+N63</f>
        <v>43710</v>
      </c>
      <c r="N63" s="213">
        <v>43710</v>
      </c>
      <c r="O63" s="97">
        <f>+K63-M63</f>
        <v>-7</v>
      </c>
      <c r="P63" s="97">
        <f>+N63-M63</f>
        <v>0</v>
      </c>
      <c r="Q63" s="97">
        <f>+N63-K63</f>
        <v>7</v>
      </c>
      <c r="R63" s="97">
        <f>+Q63-30</f>
        <v>-23</v>
      </c>
      <c r="S63">
        <v>29</v>
      </c>
      <c r="T63" s="131">
        <f>+P63*D63</f>
        <v>0</v>
      </c>
      <c r="U63" s="131">
        <f>+R63*D63</f>
        <v>-2176.03</v>
      </c>
      <c r="V63" s="118">
        <f>IF(P62&gt;30,200+S62,100+S62)</f>
        <v>129</v>
      </c>
    </row>
    <row r="64" spans="1:22" ht="15">
      <c r="A64" s="212" t="s">
        <v>228</v>
      </c>
      <c r="B64" s="213">
        <v>43668</v>
      </c>
      <c r="C64" s="212" t="s">
        <v>229</v>
      </c>
      <c r="D64" s="214">
        <v>53.81</v>
      </c>
      <c r="F64" s="121"/>
      <c r="K64" s="213">
        <v>43703</v>
      </c>
      <c r="M64" s="124">
        <f>+N64</f>
        <v>43678</v>
      </c>
      <c r="N64" s="213">
        <v>43678</v>
      </c>
      <c r="O64" s="97">
        <f>+K64-M64</f>
        <v>25</v>
      </c>
      <c r="P64" s="97">
        <f>+N64-M64</f>
        <v>0</v>
      </c>
      <c r="Q64" s="97">
        <f>+N64-K64</f>
        <v>-25</v>
      </c>
      <c r="R64" s="97">
        <f>+Q64-30</f>
        <v>-55</v>
      </c>
      <c r="S64">
        <v>29</v>
      </c>
      <c r="T64" s="131">
        <f>+P64*D64</f>
        <v>0</v>
      </c>
      <c r="U64" s="131">
        <f>+R64*D64</f>
        <v>-2959.55</v>
      </c>
      <c r="V64" s="118">
        <f>IF(P63&gt;30,200+S63,100+S63)</f>
        <v>129</v>
      </c>
    </row>
    <row r="65" spans="1:22" ht="15">
      <c r="A65" s="212" t="s">
        <v>230</v>
      </c>
      <c r="B65" s="213">
        <v>43670</v>
      </c>
      <c r="C65" s="212" t="s">
        <v>231</v>
      </c>
      <c r="D65" s="214">
        <v>296.62</v>
      </c>
      <c r="F65" s="121"/>
      <c r="K65" s="213">
        <v>43703</v>
      </c>
      <c r="M65" s="124">
        <f>+N65</f>
        <v>43679</v>
      </c>
      <c r="N65" s="213">
        <v>43679</v>
      </c>
      <c r="O65" s="97">
        <f>+K65-M65</f>
        <v>24</v>
      </c>
      <c r="P65" s="97">
        <f>+N65-M65</f>
        <v>0</v>
      </c>
      <c r="Q65" s="97">
        <f>+N65-K65</f>
        <v>-24</v>
      </c>
      <c r="R65" s="97">
        <f>+Q65-30</f>
        <v>-54</v>
      </c>
      <c r="S65">
        <v>29</v>
      </c>
      <c r="T65" s="131">
        <f>+P65*D65</f>
        <v>0</v>
      </c>
      <c r="U65" s="131">
        <f>+R65*D65</f>
        <v>-16017.48</v>
      </c>
      <c r="V65" s="118">
        <f>IF(P64&gt;30,200+S64,100+S64)</f>
        <v>129</v>
      </c>
    </row>
    <row r="66" spans="1:22" ht="15">
      <c r="A66" s="212" t="s">
        <v>232</v>
      </c>
      <c r="B66" s="213">
        <v>43678</v>
      </c>
      <c r="C66" s="212" t="s">
        <v>233</v>
      </c>
      <c r="D66" s="214">
        <v>-35.91</v>
      </c>
      <c r="F66" s="121"/>
      <c r="K66" s="213">
        <v>43703</v>
      </c>
      <c r="M66" s="124">
        <f>+N66</f>
        <v>43683</v>
      </c>
      <c r="N66" s="213">
        <v>43683</v>
      </c>
      <c r="O66" s="97">
        <f>+K66-M66</f>
        <v>20</v>
      </c>
      <c r="P66" s="97">
        <f>+N66-M66</f>
        <v>0</v>
      </c>
      <c r="Q66" s="97">
        <f>+N66-K66</f>
        <v>-20</v>
      </c>
      <c r="R66" s="97">
        <f>+Q66-30</f>
        <v>-50</v>
      </c>
      <c r="S66">
        <v>29</v>
      </c>
      <c r="T66" s="131">
        <f>+P66*D66</f>
        <v>0</v>
      </c>
      <c r="U66" s="131">
        <f>+R66*D66</f>
        <v>1795.4999999999998</v>
      </c>
      <c r="V66" s="118">
        <f>IF(P65&gt;30,200+S65,100+S65)</f>
        <v>129</v>
      </c>
    </row>
    <row r="67" spans="1:22" ht="15">
      <c r="A67" s="212" t="s">
        <v>234</v>
      </c>
      <c r="B67" s="213">
        <v>43675</v>
      </c>
      <c r="C67" s="212" t="s">
        <v>235</v>
      </c>
      <c r="D67" s="214">
        <v>622.75</v>
      </c>
      <c r="F67" s="121"/>
      <c r="K67" s="213">
        <v>43703</v>
      </c>
      <c r="M67" s="124">
        <f>+N67</f>
        <v>43705</v>
      </c>
      <c r="N67" s="213">
        <v>43705</v>
      </c>
      <c r="O67" s="97">
        <f>+K67-M67</f>
        <v>-2</v>
      </c>
      <c r="P67" s="97">
        <f>+N67-M67</f>
        <v>0</v>
      </c>
      <c r="Q67" s="97">
        <f>+N67-K67</f>
        <v>2</v>
      </c>
      <c r="R67" s="97">
        <f>+Q67-30</f>
        <v>-28</v>
      </c>
      <c r="S67">
        <v>21</v>
      </c>
      <c r="T67" s="131">
        <f>+P67*D67</f>
        <v>0</v>
      </c>
      <c r="U67" s="131">
        <f>+R67*D67</f>
        <v>-17437</v>
      </c>
      <c r="V67" s="118">
        <f>IF(P66&gt;30,200+S66,100+S66)</f>
        <v>129</v>
      </c>
    </row>
    <row r="68" spans="1:22" ht="15">
      <c r="A68" s="212" t="s">
        <v>236</v>
      </c>
      <c r="B68" s="213">
        <v>43657</v>
      </c>
      <c r="C68" s="212" t="s">
        <v>237</v>
      </c>
      <c r="D68" s="214">
        <v>107.3</v>
      </c>
      <c r="F68" s="121"/>
      <c r="K68" s="213">
        <v>43705</v>
      </c>
      <c r="M68" s="124">
        <f>+N68</f>
        <v>43705</v>
      </c>
      <c r="N68" s="213">
        <v>43705</v>
      </c>
      <c r="O68" s="97">
        <f>+K68-M68</f>
        <v>0</v>
      </c>
      <c r="P68" s="97">
        <f>+N68-M68</f>
        <v>0</v>
      </c>
      <c r="Q68" s="97">
        <f>+N68-K68</f>
        <v>0</v>
      </c>
      <c r="R68" s="97">
        <f>+Q68-30</f>
        <v>-30</v>
      </c>
      <c r="S68">
        <v>21</v>
      </c>
      <c r="T68" s="131">
        <f>+P68*D68</f>
        <v>0</v>
      </c>
      <c r="U68" s="131">
        <f>+R68*D68</f>
        <v>-3219</v>
      </c>
      <c r="V68" s="118">
        <f>IF(P67&gt;30,200+S67,100+S67)</f>
        <v>121</v>
      </c>
    </row>
    <row r="69" spans="1:22" ht="15">
      <c r="A69" s="212" t="s">
        <v>238</v>
      </c>
      <c r="B69" s="213">
        <v>43703</v>
      </c>
      <c r="C69" s="212" t="s">
        <v>239</v>
      </c>
      <c r="D69" s="214">
        <v>22.54</v>
      </c>
      <c r="F69" s="121"/>
      <c r="K69" s="213">
        <v>43705</v>
      </c>
      <c r="M69" s="124">
        <f>+N69</f>
        <v>43705</v>
      </c>
      <c r="N69" s="213">
        <v>43705</v>
      </c>
      <c r="O69" s="97">
        <f>+K69-M69</f>
        <v>0</v>
      </c>
      <c r="P69" s="97">
        <f>+N69-M69</f>
        <v>0</v>
      </c>
      <c r="Q69" s="97">
        <f>+N69-K69</f>
        <v>0</v>
      </c>
      <c r="R69" s="97">
        <f>+Q69-30</f>
        <v>-30</v>
      </c>
      <c r="S69">
        <v>29</v>
      </c>
      <c r="T69" s="131">
        <f>+P69*D69</f>
        <v>0</v>
      </c>
      <c r="U69" s="131">
        <f>+R69*D69</f>
        <v>-676.1999999999999</v>
      </c>
      <c r="V69" s="118">
        <f>IF(P68&gt;30,200+S68,100+S68)</f>
        <v>121</v>
      </c>
    </row>
    <row r="70" spans="1:22" ht="15">
      <c r="A70" s="212" t="s">
        <v>240</v>
      </c>
      <c r="B70" s="213">
        <v>43658</v>
      </c>
      <c r="C70" s="212" t="s">
        <v>241</v>
      </c>
      <c r="D70" s="214">
        <v>1400</v>
      </c>
      <c r="F70" s="121"/>
      <c r="K70" s="213">
        <v>43705</v>
      </c>
      <c r="M70" s="124">
        <f>+N70</f>
        <v>43705</v>
      </c>
      <c r="N70" s="213">
        <v>43705</v>
      </c>
      <c r="O70" s="97">
        <f>+K70-M70</f>
        <v>0</v>
      </c>
      <c r="P70" s="97">
        <f>+N70-M70</f>
        <v>0</v>
      </c>
      <c r="Q70" s="97">
        <f>+N70-K70</f>
        <v>0</v>
      </c>
      <c r="R70" s="97">
        <f>+Q70-30</f>
        <v>-30</v>
      </c>
      <c r="S70">
        <v>29</v>
      </c>
      <c r="T70" s="131">
        <f>+P70*D70</f>
        <v>0</v>
      </c>
      <c r="U70" s="131">
        <f>+R70*D70</f>
        <v>-42000</v>
      </c>
      <c r="V70" s="118">
        <f>IF(P69&gt;30,200+S69,100+S69)</f>
        <v>129</v>
      </c>
    </row>
    <row r="71" spans="1:22" ht="15">
      <c r="A71" s="212" t="s">
        <v>242</v>
      </c>
      <c r="B71" s="213">
        <v>43647</v>
      </c>
      <c r="C71" s="212" t="s">
        <v>243</v>
      </c>
      <c r="D71" s="214">
        <v>76.23</v>
      </c>
      <c r="F71" s="121"/>
      <c r="K71" s="213">
        <v>43647</v>
      </c>
      <c r="M71" s="124">
        <f>+N71</f>
        <v>43705</v>
      </c>
      <c r="N71" s="213">
        <v>43705</v>
      </c>
      <c r="O71" s="97">
        <f>+K71-M71</f>
        <v>-58</v>
      </c>
      <c r="P71" s="97">
        <f>+N71-M71</f>
        <v>0</v>
      </c>
      <c r="Q71" s="97">
        <f>+N71-K71</f>
        <v>58</v>
      </c>
      <c r="R71" s="97">
        <f>+Q71-30</f>
        <v>28</v>
      </c>
      <c r="S71">
        <v>29</v>
      </c>
      <c r="T71" s="131">
        <f>+P71*D71</f>
        <v>0</v>
      </c>
      <c r="U71" s="131">
        <f>+R71*D71</f>
        <v>2134.44</v>
      </c>
      <c r="V71" s="118">
        <f>IF(P70&gt;30,200+S70,100+S70)</f>
        <v>129</v>
      </c>
    </row>
    <row r="72" spans="1:22" ht="15">
      <c r="A72" s="212" t="s">
        <v>244</v>
      </c>
      <c r="B72" s="213">
        <v>43677</v>
      </c>
      <c r="C72" s="212" t="s">
        <v>245</v>
      </c>
      <c r="D72" s="214">
        <v>655.42</v>
      </c>
      <c r="F72" s="121"/>
      <c r="K72" s="213">
        <v>43705</v>
      </c>
      <c r="M72" s="124">
        <f>+N72</f>
        <v>43705</v>
      </c>
      <c r="N72" s="213">
        <v>43705</v>
      </c>
      <c r="O72" s="97">
        <f>+K72-M72</f>
        <v>0</v>
      </c>
      <c r="P72" s="97">
        <f>+N72-M72</f>
        <v>0</v>
      </c>
      <c r="Q72" s="97">
        <f>+N72-K72</f>
        <v>0</v>
      </c>
      <c r="R72" s="97">
        <f>+Q72-30</f>
        <v>-30</v>
      </c>
      <c r="S72">
        <v>29</v>
      </c>
      <c r="T72" s="131">
        <f>+P72*D72</f>
        <v>0</v>
      </c>
      <c r="U72" s="131">
        <f>+R72*D72</f>
        <v>-19662.6</v>
      </c>
      <c r="V72" s="118">
        <f>IF(P71&gt;30,200+S71,100+S71)</f>
        <v>129</v>
      </c>
    </row>
    <row r="73" spans="1:22" ht="15">
      <c r="A73" s="212" t="s">
        <v>246</v>
      </c>
      <c r="B73" s="213">
        <v>43677</v>
      </c>
      <c r="C73" s="212" t="s">
        <v>247</v>
      </c>
      <c r="D73" s="214">
        <v>3019.19</v>
      </c>
      <c r="F73" s="121"/>
      <c r="K73" s="213">
        <v>43705</v>
      </c>
      <c r="M73" s="124">
        <f>+N73</f>
        <v>43705</v>
      </c>
      <c r="N73" s="213">
        <v>43705</v>
      </c>
      <c r="O73" s="97">
        <f>+K73-M73</f>
        <v>0</v>
      </c>
      <c r="P73" s="97">
        <f>+N73-M73</f>
        <v>0</v>
      </c>
      <c r="Q73" s="97">
        <f>+N73-K73</f>
        <v>0</v>
      </c>
      <c r="R73" s="97">
        <f>+Q73-30</f>
        <v>-30</v>
      </c>
      <c r="S73">
        <v>29</v>
      </c>
      <c r="T73" s="131">
        <f>+P73*D73</f>
        <v>0</v>
      </c>
      <c r="U73" s="131">
        <f>+R73*D73</f>
        <v>-90575.7</v>
      </c>
      <c r="V73" s="118">
        <f>IF(P72&gt;30,200+S72,100+S72)</f>
        <v>129</v>
      </c>
    </row>
    <row r="74" spans="1:22" ht="15">
      <c r="A74" s="212" t="s">
        <v>248</v>
      </c>
      <c r="B74" s="213">
        <v>43677</v>
      </c>
      <c r="C74" s="212" t="s">
        <v>249</v>
      </c>
      <c r="D74" s="214">
        <v>312.58</v>
      </c>
      <c r="F74" s="121"/>
      <c r="K74" s="213">
        <v>43705</v>
      </c>
      <c r="M74" s="124">
        <f>+N74</f>
        <v>43705</v>
      </c>
      <c r="N74" s="213">
        <v>43705</v>
      </c>
      <c r="O74" s="97">
        <f>+K74-M74</f>
        <v>0</v>
      </c>
      <c r="P74" s="97">
        <f>+N74-M74</f>
        <v>0</v>
      </c>
      <c r="Q74" s="97">
        <f>+N74-K74</f>
        <v>0</v>
      </c>
      <c r="R74" s="97">
        <f>+Q74-30</f>
        <v>-30</v>
      </c>
      <c r="S74">
        <v>29</v>
      </c>
      <c r="T74" s="131">
        <f>+P74*D74</f>
        <v>0</v>
      </c>
      <c r="U74" s="131">
        <f>+R74*D74</f>
        <v>-9377.4</v>
      </c>
      <c r="V74" s="118">
        <f>IF(P73&gt;30,200+S73,100+S73)</f>
        <v>129</v>
      </c>
    </row>
    <row r="75" spans="1:22" ht="15">
      <c r="A75" s="212" t="s">
        <v>250</v>
      </c>
      <c r="B75" s="213">
        <v>43677</v>
      </c>
      <c r="C75" s="212" t="s">
        <v>251</v>
      </c>
      <c r="D75" s="214">
        <v>247.01</v>
      </c>
      <c r="F75" s="121"/>
      <c r="K75" s="213">
        <v>43705</v>
      </c>
      <c r="M75" s="124">
        <f>+N75</f>
        <v>43705</v>
      </c>
      <c r="N75" s="213">
        <v>43705</v>
      </c>
      <c r="O75" s="97">
        <f>+K75-M75</f>
        <v>0</v>
      </c>
      <c r="P75" s="97">
        <f>+N75-M75</f>
        <v>0</v>
      </c>
      <c r="Q75" s="97">
        <f>+N75-K75</f>
        <v>0</v>
      </c>
      <c r="R75" s="97">
        <f>+Q75-30</f>
        <v>-30</v>
      </c>
      <c r="S75">
        <v>22</v>
      </c>
      <c r="T75" s="131">
        <f>+P75*D75</f>
        <v>0</v>
      </c>
      <c r="U75" s="131">
        <f>+R75*D75</f>
        <v>-7410.299999999999</v>
      </c>
      <c r="V75" s="118">
        <f>IF(P74&gt;30,200+S74,100+S74)</f>
        <v>129</v>
      </c>
    </row>
    <row r="76" spans="1:22" ht="15">
      <c r="A76" s="212" t="s">
        <v>252</v>
      </c>
      <c r="B76" s="213">
        <v>43685</v>
      </c>
      <c r="C76" s="212" t="s">
        <v>253</v>
      </c>
      <c r="D76" s="214">
        <v>121.22</v>
      </c>
      <c r="F76" s="121"/>
      <c r="K76" s="213">
        <v>43685</v>
      </c>
      <c r="M76" s="124">
        <f>+N76</f>
        <v>43735</v>
      </c>
      <c r="N76" s="213">
        <v>43735</v>
      </c>
      <c r="O76" s="97">
        <f>+K76-M76</f>
        <v>-50</v>
      </c>
      <c r="P76" s="97">
        <f>+N76-M76</f>
        <v>0</v>
      </c>
      <c r="Q76" s="97">
        <f>+N76-K76</f>
        <v>50</v>
      </c>
      <c r="R76" s="97">
        <f>+Q76-30</f>
        <v>20</v>
      </c>
      <c r="S76">
        <v>29</v>
      </c>
      <c r="T76" s="131">
        <f>+P76*D76</f>
        <v>0</v>
      </c>
      <c r="U76" s="131">
        <f>+R76*D76</f>
        <v>2424.4</v>
      </c>
      <c r="V76" s="118">
        <f>IF(P75&gt;30,200+S75,100+S75)</f>
        <v>122</v>
      </c>
    </row>
    <row r="77" spans="1:22" ht="15">
      <c r="A77" s="212" t="s">
        <v>254</v>
      </c>
      <c r="B77" s="213">
        <v>43685</v>
      </c>
      <c r="C77" s="212" t="s">
        <v>255</v>
      </c>
      <c r="D77" s="214">
        <v>121.22</v>
      </c>
      <c r="F77" s="121"/>
      <c r="K77" s="213">
        <v>43685</v>
      </c>
      <c r="M77" s="124">
        <f>+N77</f>
        <v>43735</v>
      </c>
      <c r="N77" s="213">
        <v>43735</v>
      </c>
      <c r="O77" s="97">
        <f>+K77-M77</f>
        <v>-50</v>
      </c>
      <c r="P77" s="97">
        <f>+N77-M77</f>
        <v>0</v>
      </c>
      <c r="Q77" s="97">
        <f>+N77-K77</f>
        <v>50</v>
      </c>
      <c r="R77" s="97">
        <f>+Q77-30</f>
        <v>20</v>
      </c>
      <c r="S77">
        <v>29</v>
      </c>
      <c r="T77" s="131">
        <f>+P77*D77</f>
        <v>0</v>
      </c>
      <c r="U77" s="131">
        <f>+R77*D77</f>
        <v>2424.4</v>
      </c>
      <c r="V77" s="118">
        <f>IF(P76&gt;30,200+S76,100+S76)</f>
        <v>129</v>
      </c>
    </row>
    <row r="78" spans="1:22" ht="15">
      <c r="A78" s="212" t="s">
        <v>256</v>
      </c>
      <c r="B78" s="213">
        <v>43677</v>
      </c>
      <c r="C78" s="212" t="s">
        <v>257</v>
      </c>
      <c r="D78" s="214">
        <v>399.42</v>
      </c>
      <c r="F78" s="121"/>
      <c r="K78" s="213">
        <v>43706</v>
      </c>
      <c r="M78" s="124">
        <f>+N78</f>
        <v>43710</v>
      </c>
      <c r="N78" s="213">
        <v>43710</v>
      </c>
      <c r="O78" s="97">
        <f>+K78-M78</f>
        <v>-4</v>
      </c>
      <c r="P78" s="97">
        <f>+N78-M78</f>
        <v>0</v>
      </c>
      <c r="Q78" s="97">
        <f>+N78-K78</f>
        <v>4</v>
      </c>
      <c r="R78" s="97">
        <f>+Q78-30</f>
        <v>-26</v>
      </c>
      <c r="S78">
        <v>29</v>
      </c>
      <c r="T78" s="131">
        <f>+P78*D78</f>
        <v>0</v>
      </c>
      <c r="U78" s="131">
        <f>+R78*D78</f>
        <v>-10384.92</v>
      </c>
      <c r="V78" s="118">
        <f>IF(P77&gt;30,200+S77,100+S77)</f>
        <v>129</v>
      </c>
    </row>
    <row r="79" spans="1:22" ht="15">
      <c r="A79" s="212" t="s">
        <v>258</v>
      </c>
      <c r="B79" s="213">
        <v>43685</v>
      </c>
      <c r="C79" s="212" t="s">
        <v>259</v>
      </c>
      <c r="D79" s="214">
        <v>156</v>
      </c>
      <c r="F79" s="121"/>
      <c r="K79" s="213">
        <v>43706</v>
      </c>
      <c r="M79" s="124">
        <f>+N79</f>
        <v>43735</v>
      </c>
      <c r="N79" s="213">
        <v>43735</v>
      </c>
      <c r="O79" s="97">
        <f>+K79-M79</f>
        <v>-29</v>
      </c>
      <c r="P79" s="97">
        <f>+N79-M79</f>
        <v>0</v>
      </c>
      <c r="Q79" s="97">
        <f>+N79-K79</f>
        <v>29</v>
      </c>
      <c r="R79" s="97">
        <f>+Q79-30</f>
        <v>-1</v>
      </c>
      <c r="S79">
        <v>29</v>
      </c>
      <c r="T79" s="131">
        <f>+P79*D79</f>
        <v>0</v>
      </c>
      <c r="U79" s="131">
        <f>+R79*D79</f>
        <v>-156</v>
      </c>
      <c r="V79" s="118">
        <f>IF(P78&gt;30,200+S78,100+S78)</f>
        <v>129</v>
      </c>
    </row>
    <row r="80" spans="1:22" ht="15">
      <c r="A80" s="212" t="s">
        <v>260</v>
      </c>
      <c r="B80" s="213">
        <v>43738</v>
      </c>
      <c r="C80" s="212" t="s">
        <v>261</v>
      </c>
      <c r="D80" s="214">
        <v>4536</v>
      </c>
      <c r="F80" s="121"/>
      <c r="K80" s="213">
        <v>43738</v>
      </c>
      <c r="M80" s="124">
        <f>+N80</f>
        <v>43738</v>
      </c>
      <c r="N80" s="213">
        <v>43738</v>
      </c>
      <c r="O80" s="97">
        <f>+K80-M80</f>
        <v>0</v>
      </c>
      <c r="P80" s="97">
        <f>+N80-M80</f>
        <v>0</v>
      </c>
      <c r="Q80" s="97">
        <f>+N80-K80</f>
        <v>0</v>
      </c>
      <c r="R80" s="97">
        <f>+Q80-30</f>
        <v>-30</v>
      </c>
      <c r="S80">
        <v>29</v>
      </c>
      <c r="T80" s="131">
        <f>+P80*D80</f>
        <v>0</v>
      </c>
      <c r="U80" s="131">
        <f>+R80*D80</f>
        <v>-136080</v>
      </c>
      <c r="V80" s="118">
        <f>IF(P79&gt;30,200+S79,100+S79)</f>
        <v>129</v>
      </c>
    </row>
    <row r="81" spans="1:22" ht="15">
      <c r="A81" s="212" t="s">
        <v>262</v>
      </c>
      <c r="B81" s="213">
        <v>43705</v>
      </c>
      <c r="C81" s="212" t="s">
        <v>263</v>
      </c>
      <c r="D81" s="214">
        <v>158.13</v>
      </c>
      <c r="F81" s="121"/>
      <c r="K81" s="213">
        <v>43710</v>
      </c>
      <c r="M81" s="124">
        <f>+N81</f>
        <v>43721</v>
      </c>
      <c r="N81" s="213">
        <v>43721</v>
      </c>
      <c r="O81" s="97">
        <f>+K81-M81</f>
        <v>-11</v>
      </c>
      <c r="P81" s="97">
        <f>+N81-M81</f>
        <v>0</v>
      </c>
      <c r="Q81" s="97">
        <f>+N81-K81</f>
        <v>11</v>
      </c>
      <c r="R81" s="97">
        <f>+Q81-30</f>
        <v>-19</v>
      </c>
      <c r="S81">
        <v>21</v>
      </c>
      <c r="T81" s="131">
        <f>+P81*D81</f>
        <v>0</v>
      </c>
      <c r="U81" s="131">
        <f>+R81*D81</f>
        <v>-3004.47</v>
      </c>
      <c r="V81" s="118">
        <f>IF(P80&gt;30,200+S80,100+S80)</f>
        <v>129</v>
      </c>
    </row>
    <row r="82" spans="1:22" ht="15">
      <c r="A82" s="212" t="s">
        <v>264</v>
      </c>
      <c r="B82" s="213">
        <v>43677</v>
      </c>
      <c r="C82" s="212" t="s">
        <v>265</v>
      </c>
      <c r="D82" s="214">
        <v>346.06</v>
      </c>
      <c r="F82" s="121"/>
      <c r="K82" s="213">
        <v>43677</v>
      </c>
      <c r="M82" s="124">
        <f>+N82</f>
        <v>43677</v>
      </c>
      <c r="N82" s="213">
        <v>43677</v>
      </c>
      <c r="O82" s="97">
        <f>+K82-M82</f>
        <v>0</v>
      </c>
      <c r="P82" s="97">
        <f>+N82-M82</f>
        <v>0</v>
      </c>
      <c r="Q82" s="97">
        <f>+N82-K82</f>
        <v>0</v>
      </c>
      <c r="R82" s="97">
        <f>+Q82-30</f>
        <v>-30</v>
      </c>
      <c r="S82">
        <v>29</v>
      </c>
      <c r="T82" s="131">
        <f>+P82*D82</f>
        <v>0</v>
      </c>
      <c r="U82" s="131">
        <f>+R82*D82</f>
        <v>-10381.8</v>
      </c>
      <c r="V82" s="118">
        <f>IF(P81&gt;30,200+S81,100+S81)</f>
        <v>121</v>
      </c>
    </row>
    <row r="83" spans="1:22" ht="15">
      <c r="A83" s="212" t="s">
        <v>266</v>
      </c>
      <c r="B83" s="213">
        <v>43709</v>
      </c>
      <c r="C83" s="212" t="s">
        <v>267</v>
      </c>
      <c r="D83" s="214">
        <v>62.23</v>
      </c>
      <c r="F83" s="121"/>
      <c r="K83" s="213">
        <v>43709</v>
      </c>
      <c r="M83" s="124">
        <f>+N83</f>
        <v>43710</v>
      </c>
      <c r="N83" s="213">
        <v>43710</v>
      </c>
      <c r="O83" s="97">
        <f>+K83-M83</f>
        <v>-1</v>
      </c>
      <c r="P83" s="97">
        <f>+N83-M83</f>
        <v>0</v>
      </c>
      <c r="Q83" s="97">
        <f>+N83-K83</f>
        <v>1</v>
      </c>
      <c r="R83" s="97">
        <f>+Q83-30</f>
        <v>-29</v>
      </c>
      <c r="S83">
        <v>21</v>
      </c>
      <c r="T83" s="131">
        <f>+P83*D83</f>
        <v>0</v>
      </c>
      <c r="U83" s="131">
        <f>+R83*D83</f>
        <v>-1804.6699999999998</v>
      </c>
      <c r="V83" s="118">
        <f>IF(P82&gt;30,200+S82,100+S82)</f>
        <v>129</v>
      </c>
    </row>
    <row r="84" spans="1:22" ht="15">
      <c r="A84" s="212" t="s">
        <v>268</v>
      </c>
      <c r="B84" s="213">
        <v>43676</v>
      </c>
      <c r="C84" s="212" t="s">
        <v>269</v>
      </c>
      <c r="D84" s="214">
        <v>179.08</v>
      </c>
      <c r="F84" s="121"/>
      <c r="K84" s="213">
        <v>43710</v>
      </c>
      <c r="M84" s="124">
        <f>+N84</f>
        <v>43721</v>
      </c>
      <c r="N84" s="213">
        <v>43721</v>
      </c>
      <c r="O84" s="97">
        <f>+K84-M84</f>
        <v>-11</v>
      </c>
      <c r="P84" s="97">
        <f>+N84-M84</f>
        <v>0</v>
      </c>
      <c r="Q84" s="97">
        <f>+N84-K84</f>
        <v>11</v>
      </c>
      <c r="R84" s="97">
        <f>+Q84-30</f>
        <v>-19</v>
      </c>
      <c r="S84">
        <v>21</v>
      </c>
      <c r="T84" s="131">
        <f>+P84*D84</f>
        <v>0</v>
      </c>
      <c r="U84" s="131">
        <f>+R84*D84</f>
        <v>-3402.5200000000004</v>
      </c>
      <c r="V84" s="118">
        <f>IF(P83&gt;30,200+S83,100+S83)</f>
        <v>121</v>
      </c>
    </row>
    <row r="85" spans="1:22" ht="15">
      <c r="A85" s="212" t="s">
        <v>270</v>
      </c>
      <c r="B85" s="213">
        <v>43678</v>
      </c>
      <c r="C85" s="212" t="s">
        <v>271</v>
      </c>
      <c r="D85" s="214">
        <v>62.23</v>
      </c>
      <c r="F85" s="121"/>
      <c r="K85" s="213">
        <v>43678</v>
      </c>
      <c r="M85" s="124">
        <f>+N85</f>
        <v>43678</v>
      </c>
      <c r="N85" s="213">
        <v>43678</v>
      </c>
      <c r="O85" s="97">
        <f>+K85-M85</f>
        <v>0</v>
      </c>
      <c r="P85" s="97">
        <f>+N85-M85</f>
        <v>0</v>
      </c>
      <c r="Q85" s="97">
        <f>+N85-K85</f>
        <v>0</v>
      </c>
      <c r="R85" s="97">
        <f>+Q85-30</f>
        <v>-30</v>
      </c>
      <c r="S85">
        <v>21</v>
      </c>
      <c r="T85" s="131">
        <f>+P85*D85</f>
        <v>0</v>
      </c>
      <c r="U85" s="131">
        <f>+R85*D85</f>
        <v>-1866.8999999999999</v>
      </c>
      <c r="V85" s="118">
        <f>IF(P84&gt;30,200+S84,100+S84)</f>
        <v>121</v>
      </c>
    </row>
    <row r="86" spans="1:22" ht="15">
      <c r="A86" s="212" t="s">
        <v>272</v>
      </c>
      <c r="B86" s="213">
        <v>43676</v>
      </c>
      <c r="C86" s="212" t="s">
        <v>273</v>
      </c>
      <c r="D86" s="214">
        <v>298.37</v>
      </c>
      <c r="F86" s="121"/>
      <c r="K86" s="213">
        <v>43676</v>
      </c>
      <c r="M86" s="124">
        <f>+N86</f>
        <v>43693</v>
      </c>
      <c r="N86" s="213">
        <v>43693</v>
      </c>
      <c r="O86" s="97">
        <f>+K86-M86</f>
        <v>-17</v>
      </c>
      <c r="P86" s="97">
        <f>+N86-M86</f>
        <v>0</v>
      </c>
      <c r="Q86" s="97">
        <f>+N86-K86</f>
        <v>17</v>
      </c>
      <c r="R86" s="97">
        <f>+Q86-30</f>
        <v>-13</v>
      </c>
      <c r="S86">
        <v>29</v>
      </c>
      <c r="T86" s="131">
        <f>+P86*D86</f>
        <v>0</v>
      </c>
      <c r="U86" s="131">
        <f>+R86*D86</f>
        <v>-3878.81</v>
      </c>
      <c r="V86" s="118">
        <f>IF(P85&gt;30,200+S85,100+S85)</f>
        <v>121</v>
      </c>
    </row>
    <row r="87" spans="1:22" ht="15">
      <c r="A87" s="212" t="s">
        <v>274</v>
      </c>
      <c r="B87" s="213">
        <v>43677</v>
      </c>
      <c r="C87" s="212" t="s">
        <v>275</v>
      </c>
      <c r="D87" s="214">
        <v>1452</v>
      </c>
      <c r="F87" s="121"/>
      <c r="K87" s="213">
        <v>43711</v>
      </c>
      <c r="M87" s="124">
        <f>+N87</f>
        <v>43721</v>
      </c>
      <c r="N87" s="213">
        <v>43721</v>
      </c>
      <c r="O87" s="97">
        <f>+K87-M87</f>
        <v>-10</v>
      </c>
      <c r="P87" s="97">
        <f>+N87-M87</f>
        <v>0</v>
      </c>
      <c r="Q87" s="97">
        <f>+N87-K87</f>
        <v>10</v>
      </c>
      <c r="R87" s="97">
        <f>+Q87-30</f>
        <v>-20</v>
      </c>
      <c r="S87">
        <v>29</v>
      </c>
      <c r="T87" s="131">
        <f>+P87*D87</f>
        <v>0</v>
      </c>
      <c r="U87" s="131">
        <f>+R87*D87</f>
        <v>-29040</v>
      </c>
      <c r="V87" s="118">
        <f>IF(P86&gt;30,200+S86,100+S86)</f>
        <v>129</v>
      </c>
    </row>
    <row r="88" spans="1:22" ht="15">
      <c r="A88" s="212" t="s">
        <v>276</v>
      </c>
      <c r="B88" s="213">
        <v>43677</v>
      </c>
      <c r="C88" s="212" t="s">
        <v>277</v>
      </c>
      <c r="D88" s="214">
        <v>2314.05</v>
      </c>
      <c r="F88" s="121"/>
      <c r="K88" s="213">
        <v>43711</v>
      </c>
      <c r="M88" s="124">
        <f>+N88</f>
        <v>43711</v>
      </c>
      <c r="N88" s="213">
        <v>43711</v>
      </c>
      <c r="O88" s="97">
        <f>+K88-M88</f>
        <v>0</v>
      </c>
      <c r="P88" s="97">
        <f>+N88-M88</f>
        <v>0</v>
      </c>
      <c r="Q88" s="97">
        <f>+N88-K88</f>
        <v>0</v>
      </c>
      <c r="R88" s="97">
        <f>+Q88-30</f>
        <v>-30</v>
      </c>
      <c r="S88">
        <v>29</v>
      </c>
      <c r="T88" s="131">
        <f>+P88*D88</f>
        <v>0</v>
      </c>
      <c r="U88" s="131">
        <f>+R88*D88</f>
        <v>-69421.5</v>
      </c>
      <c r="V88" s="118">
        <f>IF(P87&gt;30,200+S87,100+S87)</f>
        <v>129</v>
      </c>
    </row>
    <row r="89" spans="1:22" ht="15">
      <c r="A89" s="212" t="s">
        <v>278</v>
      </c>
      <c r="B89" s="213">
        <v>43671</v>
      </c>
      <c r="C89" s="212" t="s">
        <v>279</v>
      </c>
      <c r="D89" s="214">
        <v>985.61</v>
      </c>
      <c r="F89" s="121"/>
      <c r="K89" s="213">
        <v>43711</v>
      </c>
      <c r="M89" s="124">
        <f>+N89</f>
        <v>43711</v>
      </c>
      <c r="N89" s="213">
        <v>43711</v>
      </c>
      <c r="O89" s="97">
        <f>+K89-M89</f>
        <v>0</v>
      </c>
      <c r="P89" s="97">
        <f>+N89-M89</f>
        <v>0</v>
      </c>
      <c r="Q89" s="97">
        <f>+N89-K89</f>
        <v>0</v>
      </c>
      <c r="R89" s="97">
        <f>+Q89-30</f>
        <v>-30</v>
      </c>
      <c r="S89">
        <v>29</v>
      </c>
      <c r="T89" s="131">
        <f>+P89*D89</f>
        <v>0</v>
      </c>
      <c r="U89" s="131">
        <f>+R89*D89</f>
        <v>-29568.3</v>
      </c>
      <c r="V89" s="118">
        <f>IF(P88&gt;30,200+S88,100+S88)</f>
        <v>129</v>
      </c>
    </row>
    <row r="90" spans="1:22" ht="15">
      <c r="A90" s="212" t="s">
        <v>280</v>
      </c>
      <c r="B90" s="213">
        <v>43696</v>
      </c>
      <c r="C90" s="212" t="s">
        <v>281</v>
      </c>
      <c r="D90" s="214">
        <v>92.69</v>
      </c>
      <c r="F90" s="121"/>
      <c r="K90" s="213">
        <v>43711</v>
      </c>
      <c r="M90" s="124">
        <f>+N90</f>
        <v>43721</v>
      </c>
      <c r="N90" s="213">
        <v>43721</v>
      </c>
      <c r="O90" s="97">
        <f>+K90-M90</f>
        <v>-10</v>
      </c>
      <c r="P90" s="97">
        <f>+N90-M90</f>
        <v>0</v>
      </c>
      <c r="Q90" s="97">
        <f>+N90-K90</f>
        <v>10</v>
      </c>
      <c r="R90" s="97">
        <f>+Q90-30</f>
        <v>-20</v>
      </c>
      <c r="S90">
        <v>21</v>
      </c>
      <c r="T90" s="131">
        <f>+P90*D90</f>
        <v>0</v>
      </c>
      <c r="U90" s="131">
        <f>+R90*D90</f>
        <v>-1853.8</v>
      </c>
      <c r="V90" s="118">
        <f>IF(P89&gt;30,200+S89,100+S89)</f>
        <v>129</v>
      </c>
    </row>
    <row r="91" spans="1:22" ht="15">
      <c r="A91" s="212" t="s">
        <v>282</v>
      </c>
      <c r="B91" s="213">
        <v>43677</v>
      </c>
      <c r="C91" s="212" t="s">
        <v>283</v>
      </c>
      <c r="D91" s="214">
        <v>181.58</v>
      </c>
      <c r="F91" s="121"/>
      <c r="K91" s="213">
        <v>43711</v>
      </c>
      <c r="M91" s="124">
        <f>+N91</f>
        <v>43676</v>
      </c>
      <c r="N91" s="213">
        <v>43676</v>
      </c>
      <c r="O91" s="97">
        <f>+K91-M91</f>
        <v>35</v>
      </c>
      <c r="P91" s="97">
        <f>+N91-M91</f>
        <v>0</v>
      </c>
      <c r="Q91" s="97">
        <f>+N91-K91</f>
        <v>-35</v>
      </c>
      <c r="R91" s="97">
        <f>+Q91-30</f>
        <v>-65</v>
      </c>
      <c r="S91">
        <v>29</v>
      </c>
      <c r="T91" s="131">
        <f>+P91*D91</f>
        <v>0</v>
      </c>
      <c r="U91" s="131">
        <f>+R91*D91</f>
        <v>-11802.7</v>
      </c>
      <c r="V91" s="118">
        <f>IF(P90&gt;30,200+S90,100+S90)</f>
        <v>121</v>
      </c>
    </row>
    <row r="92" spans="1:22" ht="15">
      <c r="A92" s="212" t="s">
        <v>284</v>
      </c>
      <c r="B92" s="213">
        <v>43647</v>
      </c>
      <c r="C92" s="212" t="s">
        <v>285</v>
      </c>
      <c r="D92" s="214">
        <v>1.61</v>
      </c>
      <c r="F92" s="121"/>
      <c r="K92" s="213">
        <v>43711</v>
      </c>
      <c r="M92" s="124"/>
      <c r="N92" s="213"/>
      <c r="O92" s="97"/>
      <c r="P92" s="97">
        <f>+N92-M92</f>
        <v>0</v>
      </c>
      <c r="Q92" s="97"/>
      <c r="R92" s="97"/>
      <c r="S92">
        <v>29</v>
      </c>
      <c r="T92" s="131"/>
      <c r="U92" s="131">
        <f>+R92*D92</f>
        <v>0</v>
      </c>
      <c r="V92" s="118"/>
    </row>
    <row r="93" spans="1:22" ht="15">
      <c r="A93" s="212" t="s">
        <v>286</v>
      </c>
      <c r="B93" s="213">
        <v>43677</v>
      </c>
      <c r="C93" s="212" t="s">
        <v>287</v>
      </c>
      <c r="D93" s="214">
        <v>758.4</v>
      </c>
      <c r="F93" s="121"/>
      <c r="K93" s="213">
        <v>43711</v>
      </c>
      <c r="M93" s="124">
        <f>+N93</f>
        <v>43721</v>
      </c>
      <c r="N93" s="213">
        <v>43721</v>
      </c>
      <c r="O93" s="97">
        <f>+K93-M93</f>
        <v>-10</v>
      </c>
      <c r="P93" s="97">
        <f>+N93-M93</f>
        <v>0</v>
      </c>
      <c r="Q93" s="97">
        <f>+N93-K93</f>
        <v>10</v>
      </c>
      <c r="R93" s="97">
        <f>+Q93-30</f>
        <v>-20</v>
      </c>
      <c r="S93">
        <v>29</v>
      </c>
      <c r="T93" s="131">
        <f>+P93*D93</f>
        <v>0</v>
      </c>
      <c r="U93" s="131">
        <f>+R93*D93</f>
        <v>-15168</v>
      </c>
      <c r="V93" s="118">
        <f>IF(P92&gt;30,200+S92,100+S92)</f>
        <v>129</v>
      </c>
    </row>
    <row r="94" spans="1:22" ht="15">
      <c r="A94" s="212" t="s">
        <v>288</v>
      </c>
      <c r="B94" s="213">
        <v>43682</v>
      </c>
      <c r="C94" s="212" t="s">
        <v>289</v>
      </c>
      <c r="D94" s="214">
        <v>1028.5</v>
      </c>
      <c r="F94" s="121"/>
      <c r="K94" s="213">
        <v>43711</v>
      </c>
      <c r="M94" s="124">
        <f>+N94</f>
        <v>43721</v>
      </c>
      <c r="N94" s="213">
        <v>43721</v>
      </c>
      <c r="O94" s="97">
        <f>+K94-M94</f>
        <v>-10</v>
      </c>
      <c r="P94" s="97">
        <f>+N94-M94</f>
        <v>0</v>
      </c>
      <c r="Q94" s="97">
        <f>+N94-K94</f>
        <v>10</v>
      </c>
      <c r="R94" s="97">
        <f>+Q94-30</f>
        <v>-20</v>
      </c>
      <c r="S94">
        <v>29</v>
      </c>
      <c r="T94" s="131">
        <f>+P94*D94</f>
        <v>0</v>
      </c>
      <c r="U94" s="131">
        <f>+R94*D94</f>
        <v>-20570</v>
      </c>
      <c r="V94" s="118">
        <f>IF(P93&gt;30,200+S93,100+S93)</f>
        <v>129</v>
      </c>
    </row>
    <row r="95" spans="1:22" ht="15">
      <c r="A95" s="212" t="s">
        <v>290</v>
      </c>
      <c r="B95" s="213">
        <v>43679</v>
      </c>
      <c r="C95" s="212" t="s">
        <v>291</v>
      </c>
      <c r="D95" s="214">
        <v>254.1</v>
      </c>
      <c r="F95" s="121"/>
      <c r="K95" s="213">
        <v>43711</v>
      </c>
      <c r="M95" s="124">
        <f>+N95</f>
        <v>43721</v>
      </c>
      <c r="N95" s="213">
        <v>43721</v>
      </c>
      <c r="O95" s="97">
        <f>+K95-M95</f>
        <v>-10</v>
      </c>
      <c r="P95" s="97">
        <f>+N95-M95</f>
        <v>0</v>
      </c>
      <c r="Q95" s="97">
        <f>+N95-K95</f>
        <v>10</v>
      </c>
      <c r="R95" s="97">
        <f>+Q95-30</f>
        <v>-20</v>
      </c>
      <c r="S95">
        <v>29</v>
      </c>
      <c r="T95" s="131">
        <f>+P95*D95</f>
        <v>0</v>
      </c>
      <c r="U95" s="131">
        <f>+R95*D95</f>
        <v>-5082</v>
      </c>
      <c r="V95" s="118">
        <f>IF(P94&gt;30,200+S94,100+S94)</f>
        <v>129</v>
      </c>
    </row>
    <row r="96" spans="1:22" ht="15">
      <c r="A96" s="212" t="s">
        <v>292</v>
      </c>
      <c r="B96" s="213">
        <v>43664</v>
      </c>
      <c r="C96" s="212" t="s">
        <v>293</v>
      </c>
      <c r="D96" s="214">
        <v>235.27</v>
      </c>
      <c r="F96" s="121"/>
      <c r="K96" s="213">
        <v>43711</v>
      </c>
      <c r="M96" s="124">
        <f>+N96</f>
        <v>43665</v>
      </c>
      <c r="N96" s="213">
        <v>43665</v>
      </c>
      <c r="O96" s="97">
        <f>+K96-M96</f>
        <v>46</v>
      </c>
      <c r="P96" s="97">
        <f>+N96-M96</f>
        <v>0</v>
      </c>
      <c r="Q96" s="97">
        <f>+N96-K96</f>
        <v>-46</v>
      </c>
      <c r="R96" s="97">
        <f>+Q96-30</f>
        <v>-76</v>
      </c>
      <c r="S96">
        <v>29</v>
      </c>
      <c r="T96" s="131">
        <f>+P96*D96</f>
        <v>0</v>
      </c>
      <c r="U96" s="131">
        <f>+R96*D96</f>
        <v>-17880.52</v>
      </c>
      <c r="V96" s="118">
        <f>IF(P95&gt;30,200+S95,100+S95)</f>
        <v>129</v>
      </c>
    </row>
    <row r="97" spans="1:22" ht="15">
      <c r="A97" s="212" t="s">
        <v>294</v>
      </c>
      <c r="B97" s="213">
        <v>43666</v>
      </c>
      <c r="C97" s="212" t="s">
        <v>295</v>
      </c>
      <c r="D97" s="214">
        <v>179.39</v>
      </c>
      <c r="F97" s="121"/>
      <c r="K97" s="213">
        <v>43711</v>
      </c>
      <c r="M97" s="124">
        <f>+N97</f>
        <v>43676</v>
      </c>
      <c r="N97" s="213">
        <v>43676</v>
      </c>
      <c r="O97" s="97">
        <f>+K97-M97</f>
        <v>35</v>
      </c>
      <c r="P97" s="97">
        <f>+N97-M97</f>
        <v>0</v>
      </c>
      <c r="Q97" s="97">
        <f>+N97-K97</f>
        <v>-35</v>
      </c>
      <c r="R97" s="97">
        <f>+Q97-30</f>
        <v>-65</v>
      </c>
      <c r="S97">
        <v>21</v>
      </c>
      <c r="T97" s="131">
        <f>+P97*D97</f>
        <v>0</v>
      </c>
      <c r="U97" s="131">
        <f>+R97*D97</f>
        <v>-11660.349999999999</v>
      </c>
      <c r="V97" s="118">
        <f>IF(P96&gt;30,200+S96,100+S96)</f>
        <v>129</v>
      </c>
    </row>
    <row r="98" spans="1:22" ht="15">
      <c r="A98" s="212" t="s">
        <v>296</v>
      </c>
      <c r="B98" s="213">
        <v>43708</v>
      </c>
      <c r="C98" s="212" t="s">
        <v>297</v>
      </c>
      <c r="D98" s="214">
        <v>89.84</v>
      </c>
      <c r="F98" s="121"/>
      <c r="K98" s="213">
        <v>43712</v>
      </c>
      <c r="M98" s="124">
        <f>+N98</f>
        <v>43713</v>
      </c>
      <c r="N98" s="213">
        <v>43713</v>
      </c>
      <c r="O98" s="97">
        <f>+K98-M98</f>
        <v>-1</v>
      </c>
      <c r="P98" s="97">
        <f>+N98-M98</f>
        <v>0</v>
      </c>
      <c r="Q98" s="97">
        <f>+N98-K98</f>
        <v>1</v>
      </c>
      <c r="R98" s="97">
        <f>+Q98-30</f>
        <v>-29</v>
      </c>
      <c r="S98">
        <v>29</v>
      </c>
      <c r="T98" s="131">
        <f>+P98*D98</f>
        <v>0</v>
      </c>
      <c r="U98" s="131">
        <f>+R98*D98</f>
        <v>-2605.36</v>
      </c>
      <c r="V98" s="118">
        <f>IF(P97&gt;30,200+S97,100+S97)</f>
        <v>121</v>
      </c>
    </row>
    <row r="99" spans="1:22" ht="15">
      <c r="A99" s="212" t="s">
        <v>298</v>
      </c>
      <c r="B99" s="213">
        <v>43708</v>
      </c>
      <c r="C99" s="212" t="s">
        <v>299</v>
      </c>
      <c r="D99" s="214">
        <v>73.45</v>
      </c>
      <c r="F99" s="121"/>
      <c r="K99" s="213">
        <v>43712</v>
      </c>
      <c r="M99" s="124">
        <f>+N99</f>
        <v>43738</v>
      </c>
      <c r="N99" s="213">
        <v>43738</v>
      </c>
      <c r="O99" s="97">
        <f>+K99-M99</f>
        <v>-26</v>
      </c>
      <c r="P99" s="97">
        <f>+N99-M99</f>
        <v>0</v>
      </c>
      <c r="Q99" s="97">
        <f>+N99-K99</f>
        <v>26</v>
      </c>
      <c r="R99" s="97">
        <f>+Q99-30</f>
        <v>-4</v>
      </c>
      <c r="S99">
        <v>29</v>
      </c>
      <c r="T99" s="131">
        <f>+P99*D99</f>
        <v>0</v>
      </c>
      <c r="U99" s="131">
        <f>+R99*D99</f>
        <v>-293.8</v>
      </c>
      <c r="V99" s="118">
        <f>IF(P98&gt;30,200+S98,100+S98)</f>
        <v>129</v>
      </c>
    </row>
    <row r="100" spans="1:22" ht="15">
      <c r="A100" s="212" t="s">
        <v>300</v>
      </c>
      <c r="B100" s="213">
        <v>43689</v>
      </c>
      <c r="C100" s="212" t="s">
        <v>301</v>
      </c>
      <c r="D100" s="214">
        <v>37.5</v>
      </c>
      <c r="F100" s="121"/>
      <c r="K100" s="213">
        <v>43712</v>
      </c>
      <c r="M100" s="124">
        <f>+N100</f>
        <v>43721</v>
      </c>
      <c r="N100" s="213">
        <v>43721</v>
      </c>
      <c r="O100" s="97">
        <f>+K100-M100</f>
        <v>-9</v>
      </c>
      <c r="P100" s="97">
        <f>+N100-M100</f>
        <v>0</v>
      </c>
      <c r="Q100" s="97">
        <f>+N100-K100</f>
        <v>9</v>
      </c>
      <c r="R100" s="97">
        <f>+Q100-30</f>
        <v>-21</v>
      </c>
      <c r="S100">
        <v>29</v>
      </c>
      <c r="T100" s="131">
        <f>+P100*D100</f>
        <v>0</v>
      </c>
      <c r="U100" s="131">
        <f>+R100*D100</f>
        <v>-787.5</v>
      </c>
      <c r="V100" s="118">
        <f>IF(P99&gt;30,200+S99,100+S99)</f>
        <v>129</v>
      </c>
    </row>
    <row r="101" spans="1:22" ht="15">
      <c r="A101" s="212" t="s">
        <v>302</v>
      </c>
      <c r="B101" s="213">
        <v>43679</v>
      </c>
      <c r="C101" s="212" t="s">
        <v>303</v>
      </c>
      <c r="D101" s="214">
        <v>6897</v>
      </c>
      <c r="F101" s="121"/>
      <c r="K101" s="213">
        <v>43713</v>
      </c>
      <c r="M101" s="124">
        <f>+N101</f>
        <v>43721</v>
      </c>
      <c r="N101" s="213">
        <v>43721</v>
      </c>
      <c r="O101" s="97">
        <f>+K101-M101</f>
        <v>-8</v>
      </c>
      <c r="P101" s="97">
        <f>+N101-M101</f>
        <v>0</v>
      </c>
      <c r="Q101" s="97">
        <f>+N101-K101</f>
        <v>8</v>
      </c>
      <c r="R101" s="97">
        <f>+Q101-30</f>
        <v>-22</v>
      </c>
      <c r="S101">
        <v>29</v>
      </c>
      <c r="T101" s="131">
        <f>+P101*D101</f>
        <v>0</v>
      </c>
      <c r="U101" s="131">
        <f>+R101*D101</f>
        <v>-151734</v>
      </c>
      <c r="V101" s="118">
        <f>IF(P100&gt;30,200+S100,100+S100)</f>
        <v>129</v>
      </c>
    </row>
    <row r="102" spans="1:22" ht="15">
      <c r="A102" s="212" t="s">
        <v>304</v>
      </c>
      <c r="B102" s="213">
        <v>43668</v>
      </c>
      <c r="C102" s="212" t="s">
        <v>305</v>
      </c>
      <c r="D102" s="214">
        <v>151.86</v>
      </c>
      <c r="F102" s="121"/>
      <c r="K102" s="213">
        <v>43713</v>
      </c>
      <c r="M102" s="124">
        <f>+N102</f>
        <v>43721</v>
      </c>
      <c r="N102" s="213">
        <v>43721</v>
      </c>
      <c r="O102" s="97">
        <f>+K102-M102</f>
        <v>-8</v>
      </c>
      <c r="P102" s="97">
        <f>+N102-M102</f>
        <v>0</v>
      </c>
      <c r="Q102" s="97">
        <f>+N102-K102</f>
        <v>8</v>
      </c>
      <c r="R102" s="97">
        <f>+Q102-30</f>
        <v>-22</v>
      </c>
      <c r="S102">
        <v>29</v>
      </c>
      <c r="T102" s="131">
        <f>+P102*D102</f>
        <v>0</v>
      </c>
      <c r="U102" s="131">
        <f>+R102*D102</f>
        <v>-3340.92</v>
      </c>
      <c r="V102" s="118">
        <f>IF(P101&gt;30,200+S101,100+S101)</f>
        <v>129</v>
      </c>
    </row>
    <row r="103" spans="1:22" ht="15">
      <c r="A103" s="212" t="s">
        <v>306</v>
      </c>
      <c r="B103" s="213">
        <v>43706</v>
      </c>
      <c r="C103" s="212" t="s">
        <v>307</v>
      </c>
      <c r="D103" s="214">
        <v>507.56</v>
      </c>
      <c r="F103" s="121"/>
      <c r="K103" s="213">
        <v>43706</v>
      </c>
      <c r="M103" s="124">
        <f>+N103</f>
        <v>43727</v>
      </c>
      <c r="N103" s="213">
        <v>43727</v>
      </c>
      <c r="O103" s="97">
        <f>+K103-M103</f>
        <v>-21</v>
      </c>
      <c r="P103" s="97">
        <f>+N103-M103</f>
        <v>0</v>
      </c>
      <c r="Q103" s="97">
        <f>+N103-K103</f>
        <v>21</v>
      </c>
      <c r="R103" s="97">
        <f>+Q103-30</f>
        <v>-9</v>
      </c>
      <c r="S103">
        <v>29</v>
      </c>
      <c r="T103" s="131">
        <f>+P103*D103</f>
        <v>0</v>
      </c>
      <c r="U103" s="131">
        <f>+R103*D103</f>
        <v>-4568.04</v>
      </c>
      <c r="V103" s="118">
        <f>IF(P102&gt;30,200+S102,100+S102)</f>
        <v>129</v>
      </c>
    </row>
    <row r="104" spans="1:22" ht="15">
      <c r="A104" s="212" t="s">
        <v>308</v>
      </c>
      <c r="B104" s="213">
        <v>43706</v>
      </c>
      <c r="C104" s="212" t="s">
        <v>309</v>
      </c>
      <c r="D104" s="214">
        <v>351.42</v>
      </c>
      <c r="F104" s="121"/>
      <c r="K104" s="213">
        <v>43706</v>
      </c>
      <c r="M104" s="124">
        <f>+N104</f>
        <v>43727</v>
      </c>
      <c r="N104" s="213">
        <v>43727</v>
      </c>
      <c r="O104" s="97">
        <f>+K104-M104</f>
        <v>-21</v>
      </c>
      <c r="P104" s="97">
        <f>+N104-M104</f>
        <v>0</v>
      </c>
      <c r="Q104" s="97">
        <f>+N104-K104</f>
        <v>21</v>
      </c>
      <c r="R104" s="97">
        <f>+Q104-30</f>
        <v>-9</v>
      </c>
      <c r="S104">
        <v>29</v>
      </c>
      <c r="T104" s="131">
        <f>+P104*D104</f>
        <v>0</v>
      </c>
      <c r="U104" s="131">
        <f>+R104*D104</f>
        <v>-3162.78</v>
      </c>
      <c r="V104" s="118">
        <f>IF(P103&gt;30,200+S103,100+S103)</f>
        <v>129</v>
      </c>
    </row>
    <row r="105" spans="1:22" ht="15">
      <c r="A105" s="212" t="s">
        <v>310</v>
      </c>
      <c r="B105" s="213">
        <v>43706</v>
      </c>
      <c r="C105" s="212" t="s">
        <v>311</v>
      </c>
      <c r="D105" s="214">
        <v>261.92</v>
      </c>
      <c r="F105" s="121"/>
      <c r="K105" s="213">
        <v>43706</v>
      </c>
      <c r="M105" s="124">
        <f>+N105</f>
        <v>43727</v>
      </c>
      <c r="N105" s="213">
        <v>43727</v>
      </c>
      <c r="O105" s="97">
        <f>+K105-M105</f>
        <v>-21</v>
      </c>
      <c r="P105" s="97">
        <f>+N105-M105</f>
        <v>0</v>
      </c>
      <c r="Q105" s="97">
        <f>+N105-K105</f>
        <v>21</v>
      </c>
      <c r="R105" s="97">
        <f>+Q105-30</f>
        <v>-9</v>
      </c>
      <c r="S105">
        <v>29</v>
      </c>
      <c r="T105" s="131">
        <f>+P105*D105</f>
        <v>0</v>
      </c>
      <c r="U105" s="131">
        <f>+R105*D105</f>
        <v>-2357.28</v>
      </c>
      <c r="V105" s="118">
        <f>IF(P104&gt;30,200+S104,100+S104)</f>
        <v>129</v>
      </c>
    </row>
    <row r="106" spans="1:22" ht="15">
      <c r="A106" s="212" t="s">
        <v>312</v>
      </c>
      <c r="B106" s="213">
        <v>43677</v>
      </c>
      <c r="C106" s="212" t="s">
        <v>313</v>
      </c>
      <c r="D106" s="214">
        <v>516.82</v>
      </c>
      <c r="F106" s="121"/>
      <c r="K106" s="213">
        <v>43714</v>
      </c>
      <c r="M106" s="124">
        <f>+N106</f>
        <v>43707</v>
      </c>
      <c r="N106" s="213">
        <v>43707</v>
      </c>
      <c r="O106" s="97">
        <f>+K106-M106</f>
        <v>7</v>
      </c>
      <c r="P106" s="97">
        <f>+N106-M106</f>
        <v>0</v>
      </c>
      <c r="Q106" s="97">
        <f>+N106-K106</f>
        <v>-7</v>
      </c>
      <c r="R106" s="97">
        <f>+Q106-30</f>
        <v>-37</v>
      </c>
      <c r="S106">
        <v>29</v>
      </c>
      <c r="T106" s="131">
        <f>+P106*D106</f>
        <v>0</v>
      </c>
      <c r="U106" s="131">
        <f>+R106*D106</f>
        <v>-19122.34</v>
      </c>
      <c r="V106" s="118">
        <f>IF(P105&gt;30,200+S105,100+S105)</f>
        <v>129</v>
      </c>
    </row>
    <row r="107" spans="1:22" ht="15">
      <c r="A107" s="212" t="s">
        <v>314</v>
      </c>
      <c r="B107" s="213">
        <v>43677</v>
      </c>
      <c r="C107" s="212" t="s">
        <v>315</v>
      </c>
      <c r="D107" s="214">
        <v>50.6</v>
      </c>
      <c r="F107" s="121"/>
      <c r="K107" s="213">
        <v>43714</v>
      </c>
      <c r="M107" s="124">
        <f>+N107</f>
        <v>43708</v>
      </c>
      <c r="N107" s="213">
        <v>43708</v>
      </c>
      <c r="O107" s="97">
        <f>+K107-M107</f>
        <v>6</v>
      </c>
      <c r="P107" s="97">
        <f>+N107-M107</f>
        <v>0</v>
      </c>
      <c r="Q107" s="97">
        <f>+N107-K107</f>
        <v>-6</v>
      </c>
      <c r="R107" s="97">
        <f>+Q107-30</f>
        <v>-36</v>
      </c>
      <c r="S107">
        <v>29</v>
      </c>
      <c r="T107" s="131">
        <f>+P107*D107</f>
        <v>0</v>
      </c>
      <c r="U107" s="131">
        <f>+R107*D107</f>
        <v>-1821.6000000000001</v>
      </c>
      <c r="V107" s="118">
        <f>IF(P106&gt;30,200+S106,100+S106)</f>
        <v>129</v>
      </c>
    </row>
    <row r="108" spans="1:22" ht="15">
      <c r="A108" s="212" t="s">
        <v>316</v>
      </c>
      <c r="B108" s="213">
        <v>43700</v>
      </c>
      <c r="C108" s="212" t="s">
        <v>317</v>
      </c>
      <c r="D108" s="214">
        <v>504.81</v>
      </c>
      <c r="F108" s="121"/>
      <c r="K108" s="213">
        <v>43714</v>
      </c>
      <c r="M108" s="124">
        <f>+N108</f>
        <v>43731</v>
      </c>
      <c r="N108" s="213">
        <v>43731</v>
      </c>
      <c r="O108" s="97">
        <f>+K108-M108</f>
        <v>-17</v>
      </c>
      <c r="P108" s="97">
        <f>+N108-M108</f>
        <v>0</v>
      </c>
      <c r="Q108" s="97">
        <f>+N108-K108</f>
        <v>17</v>
      </c>
      <c r="R108" s="97">
        <f>+Q108-30</f>
        <v>-13</v>
      </c>
      <c r="S108">
        <v>21</v>
      </c>
      <c r="T108" s="131">
        <f>+P108*D108</f>
        <v>0</v>
      </c>
      <c r="U108" s="131">
        <f>+R108*D108</f>
        <v>-6562.53</v>
      </c>
      <c r="V108" s="118">
        <f>IF(P107&gt;30,200+S107,100+S107)</f>
        <v>129</v>
      </c>
    </row>
    <row r="109" spans="1:22" ht="15">
      <c r="A109" s="212" t="s">
        <v>318</v>
      </c>
      <c r="B109" s="213">
        <v>43705</v>
      </c>
      <c r="C109" s="212" t="s">
        <v>319</v>
      </c>
      <c r="D109" s="214">
        <v>16.52</v>
      </c>
      <c r="F109" s="121"/>
      <c r="K109" s="213">
        <v>43718</v>
      </c>
      <c r="M109" s="124">
        <f>+N109</f>
        <v>43711</v>
      </c>
      <c r="N109" s="213">
        <v>43711</v>
      </c>
      <c r="O109" s="97">
        <f>+K109-M109</f>
        <v>7</v>
      </c>
      <c r="P109" s="97">
        <f>+N109-M109</f>
        <v>0</v>
      </c>
      <c r="Q109" s="97">
        <f>+N109-K109</f>
        <v>-7</v>
      </c>
      <c r="R109" s="97">
        <f>+Q109-30</f>
        <v>-37</v>
      </c>
      <c r="S109">
        <v>22</v>
      </c>
      <c r="T109" s="131">
        <f>+P109*D109</f>
        <v>0</v>
      </c>
      <c r="U109" s="131">
        <f>+R109*D109</f>
        <v>-611.24</v>
      </c>
      <c r="V109" s="118">
        <f>IF(P108&gt;30,200+S108,100+S108)</f>
        <v>121</v>
      </c>
    </row>
    <row r="110" spans="1:22" ht="15">
      <c r="A110" s="212" t="s">
        <v>320</v>
      </c>
      <c r="B110" s="213">
        <v>43719</v>
      </c>
      <c r="C110" s="212" t="s">
        <v>321</v>
      </c>
      <c r="D110" s="214">
        <v>270</v>
      </c>
      <c r="F110" s="121"/>
      <c r="K110" s="213">
        <v>43720</v>
      </c>
      <c r="M110" s="124">
        <f>+N110</f>
        <v>43721</v>
      </c>
      <c r="N110" s="213">
        <v>43721</v>
      </c>
      <c r="O110" s="97">
        <f>+K110-M110</f>
        <v>-1</v>
      </c>
      <c r="P110" s="97">
        <f>+N110-M110</f>
        <v>0</v>
      </c>
      <c r="Q110" s="97">
        <f>+N110-K110</f>
        <v>1</v>
      </c>
      <c r="R110" s="97">
        <f>+Q110-30</f>
        <v>-29</v>
      </c>
      <c r="S110">
        <v>20</v>
      </c>
      <c r="T110" s="131">
        <f>+P110*D110</f>
        <v>0</v>
      </c>
      <c r="U110" s="131">
        <f>+R110*D110</f>
        <v>-7830</v>
      </c>
      <c r="V110" s="118">
        <f>IF(P109&gt;30,200+S109,100+S109)</f>
        <v>122</v>
      </c>
    </row>
    <row r="111" spans="1:22" ht="15">
      <c r="A111" s="212" t="s">
        <v>322</v>
      </c>
      <c r="B111" s="213">
        <v>43719</v>
      </c>
      <c r="C111" s="212" t="s">
        <v>323</v>
      </c>
      <c r="D111" s="214">
        <v>1080</v>
      </c>
      <c r="F111" s="121"/>
      <c r="K111" s="213">
        <v>43720</v>
      </c>
      <c r="M111" s="124">
        <f>+N111</f>
        <v>43721</v>
      </c>
      <c r="N111" s="213">
        <v>43721</v>
      </c>
      <c r="O111" s="97">
        <f>+K111-M111</f>
        <v>-1</v>
      </c>
      <c r="P111" s="97">
        <f>+N111-M111</f>
        <v>0</v>
      </c>
      <c r="Q111" s="97">
        <f>+N111-K111</f>
        <v>1</v>
      </c>
      <c r="R111" s="97">
        <f>+Q111-30</f>
        <v>-29</v>
      </c>
      <c r="S111">
        <v>22</v>
      </c>
      <c r="T111" s="131">
        <f>+P111*D111</f>
        <v>0</v>
      </c>
      <c r="U111" s="131">
        <f>+R111*D111</f>
        <v>-31320</v>
      </c>
      <c r="V111" s="118">
        <f>IF(P110&gt;30,200+S110,100+S110)</f>
        <v>120</v>
      </c>
    </row>
    <row r="112" spans="1:22" ht="15">
      <c r="A112" s="212" t="s">
        <v>324</v>
      </c>
      <c r="B112" s="213">
        <v>43662</v>
      </c>
      <c r="C112" s="212" t="s">
        <v>325</v>
      </c>
      <c r="D112" s="214">
        <v>70</v>
      </c>
      <c r="F112" s="121"/>
      <c r="K112" s="213">
        <v>43662</v>
      </c>
      <c r="M112" s="124">
        <f>+N112</f>
        <v>43661</v>
      </c>
      <c r="N112" s="213">
        <v>43661</v>
      </c>
      <c r="O112" s="97">
        <f>+K112-M112</f>
        <v>1</v>
      </c>
      <c r="P112" s="97">
        <f>+N112-M112</f>
        <v>0</v>
      </c>
      <c r="Q112" s="97">
        <f>+N112-K112</f>
        <v>-1</v>
      </c>
      <c r="R112" s="97">
        <f>+Q112-30</f>
        <v>-31</v>
      </c>
      <c r="S112">
        <v>29</v>
      </c>
      <c r="T112" s="131">
        <f>+P112*D112</f>
        <v>0</v>
      </c>
      <c r="U112" s="131">
        <f>+R112*D112</f>
        <v>-2170</v>
      </c>
      <c r="V112" s="118">
        <f>IF(P111&gt;30,200+S111,100+S111)</f>
        <v>122</v>
      </c>
    </row>
    <row r="113" spans="1:22" ht="15">
      <c r="A113" s="212" t="s">
        <v>326</v>
      </c>
      <c r="B113" s="213">
        <v>43663</v>
      </c>
      <c r="C113" s="212" t="s">
        <v>327</v>
      </c>
      <c r="D113" s="214">
        <v>40</v>
      </c>
      <c r="F113" s="121"/>
      <c r="K113" s="213">
        <v>43663</v>
      </c>
      <c r="M113" s="124">
        <f>+N113</f>
        <v>43663</v>
      </c>
      <c r="N113" s="213">
        <v>43663</v>
      </c>
      <c r="O113" s="97">
        <f>+K113-M113</f>
        <v>0</v>
      </c>
      <c r="P113" s="97">
        <f>+N113-M113</f>
        <v>0</v>
      </c>
      <c r="Q113" s="97">
        <f>+N113-K113</f>
        <v>0</v>
      </c>
      <c r="R113" s="97">
        <f>+Q113-30</f>
        <v>-30</v>
      </c>
      <c r="S113">
        <v>29</v>
      </c>
      <c r="T113" s="131">
        <f>+P113*D113</f>
        <v>0</v>
      </c>
      <c r="U113" s="131">
        <f>+R113*D113</f>
        <v>-1200</v>
      </c>
      <c r="V113" s="118">
        <f>IF(P112&gt;30,200+S112,100+S112)</f>
        <v>129</v>
      </c>
    </row>
    <row r="114" spans="1:22" ht="15">
      <c r="A114" s="212" t="s">
        <v>328</v>
      </c>
      <c r="B114" s="213">
        <v>43696</v>
      </c>
      <c r="C114" s="212" t="s">
        <v>329</v>
      </c>
      <c r="D114" s="214">
        <v>66.55</v>
      </c>
      <c r="F114" s="121"/>
      <c r="K114" s="213">
        <v>43720</v>
      </c>
      <c r="M114" s="124">
        <f>+N114</f>
        <v>43721</v>
      </c>
      <c r="N114" s="213">
        <v>43721</v>
      </c>
      <c r="O114" s="97">
        <f>+K114-M114</f>
        <v>-1</v>
      </c>
      <c r="P114" s="97">
        <f>+N114-M114</f>
        <v>0</v>
      </c>
      <c r="Q114" s="97">
        <f>+N114-K114</f>
        <v>1</v>
      </c>
      <c r="R114" s="97">
        <f>+Q114-30</f>
        <v>-29</v>
      </c>
      <c r="S114">
        <v>29</v>
      </c>
      <c r="T114" s="131">
        <f>+P114*D114</f>
        <v>0</v>
      </c>
      <c r="U114" s="131">
        <f>+R114*D114</f>
        <v>-1929.9499999999998</v>
      </c>
      <c r="V114" s="118">
        <f>IF(P113&gt;30,200+S113,100+S113)</f>
        <v>129</v>
      </c>
    </row>
    <row r="115" spans="1:22" ht="15">
      <c r="A115" s="212" t="s">
        <v>330</v>
      </c>
      <c r="B115" s="213">
        <v>43647</v>
      </c>
      <c r="C115" s="212" t="s">
        <v>331</v>
      </c>
      <c r="D115" s="214">
        <v>2008.6</v>
      </c>
      <c r="F115" s="121"/>
      <c r="K115" s="213">
        <v>43647</v>
      </c>
      <c r="M115" s="124">
        <f>+N115</f>
        <v>43689</v>
      </c>
      <c r="N115" s="213">
        <v>43689</v>
      </c>
      <c r="O115" s="97">
        <f>+K115-M115</f>
        <v>-42</v>
      </c>
      <c r="P115" s="97">
        <f>+N115-M115</f>
        <v>0</v>
      </c>
      <c r="Q115" s="97">
        <f>+N115-K115</f>
        <v>42</v>
      </c>
      <c r="R115" s="97">
        <f>+Q115-30</f>
        <v>12</v>
      </c>
      <c r="S115">
        <v>21</v>
      </c>
      <c r="T115" s="131">
        <f>+P115*D115</f>
        <v>0</v>
      </c>
      <c r="U115" s="131">
        <f>+R115*D115</f>
        <v>24103.199999999997</v>
      </c>
      <c r="V115" s="118">
        <f>IF(P114&gt;30,200+S114,100+S114)</f>
        <v>129</v>
      </c>
    </row>
    <row r="116" spans="1:22" ht="15">
      <c r="A116" s="212" t="s">
        <v>332</v>
      </c>
      <c r="B116" s="213">
        <v>43708</v>
      </c>
      <c r="C116" s="212" t="s">
        <v>333</v>
      </c>
      <c r="D116" s="214">
        <v>26.16</v>
      </c>
      <c r="F116" s="121"/>
      <c r="K116" s="213">
        <v>43720</v>
      </c>
      <c r="M116" s="124">
        <f>+N116</f>
        <v>43738</v>
      </c>
      <c r="N116" s="213">
        <v>43738</v>
      </c>
      <c r="O116" s="97">
        <f>+K116-M116</f>
        <v>-18</v>
      </c>
      <c r="P116" s="97">
        <f>+N116-M116</f>
        <v>0</v>
      </c>
      <c r="Q116" s="97">
        <f>+N116-K116</f>
        <v>18</v>
      </c>
      <c r="R116" s="97">
        <f>+Q116-30</f>
        <v>-12</v>
      </c>
      <c r="S116">
        <v>29</v>
      </c>
      <c r="T116" s="131">
        <f>+P116*D116</f>
        <v>0</v>
      </c>
      <c r="U116" s="131">
        <f>+R116*D116</f>
        <v>-313.92</v>
      </c>
      <c r="V116" s="118">
        <f>IF(P115&gt;30,200+S115,100+S115)</f>
        <v>121</v>
      </c>
    </row>
    <row r="117" spans="1:22" ht="15">
      <c r="A117" s="212" t="s">
        <v>334</v>
      </c>
      <c r="B117" s="213">
        <v>43703</v>
      </c>
      <c r="C117" s="212" t="s">
        <v>335</v>
      </c>
      <c r="D117" s="214">
        <v>245.56</v>
      </c>
      <c r="F117" s="121"/>
      <c r="K117" s="213">
        <v>43720</v>
      </c>
      <c r="M117" s="124">
        <f>+N117</f>
        <v>43733</v>
      </c>
      <c r="N117" s="213">
        <v>43733</v>
      </c>
      <c r="O117" s="97">
        <f>+K117-M117</f>
        <v>-13</v>
      </c>
      <c r="P117" s="97">
        <f>+N117-M117</f>
        <v>0</v>
      </c>
      <c r="Q117" s="97">
        <f>+N117-K117</f>
        <v>13</v>
      </c>
      <c r="R117" s="97">
        <f>+Q117-30</f>
        <v>-17</v>
      </c>
      <c r="S117">
        <v>21</v>
      </c>
      <c r="T117" s="131">
        <f>+P117*D117</f>
        <v>0</v>
      </c>
      <c r="U117" s="131">
        <f>+R117*D117</f>
        <v>-4174.52</v>
      </c>
      <c r="V117" s="118">
        <f>IF(P116&gt;30,200+S116,100+S116)</f>
        <v>129</v>
      </c>
    </row>
    <row r="118" spans="1:22" ht="15">
      <c r="A118" s="212" t="s">
        <v>336</v>
      </c>
      <c r="B118" s="213">
        <v>43708</v>
      </c>
      <c r="C118" s="212" t="s">
        <v>337</v>
      </c>
      <c r="D118" s="214">
        <v>72.6</v>
      </c>
      <c r="F118" s="121"/>
      <c r="K118" s="213">
        <v>43720</v>
      </c>
      <c r="M118" s="124">
        <f>+N118</f>
        <v>43721</v>
      </c>
      <c r="N118" s="213">
        <v>43721</v>
      </c>
      <c r="O118" s="97">
        <f>+K118-M118</f>
        <v>-1</v>
      </c>
      <c r="P118" s="97">
        <f>+N118-M118</f>
        <v>0</v>
      </c>
      <c r="Q118" s="97">
        <f>+N118-K118</f>
        <v>1</v>
      </c>
      <c r="R118" s="97">
        <f>+Q118-30</f>
        <v>-29</v>
      </c>
      <c r="S118">
        <v>29</v>
      </c>
      <c r="T118" s="131">
        <f>+P118*D118</f>
        <v>0</v>
      </c>
      <c r="U118" s="131">
        <f>+R118*D118</f>
        <v>-2105.3999999999996</v>
      </c>
      <c r="V118" s="118">
        <f>IF(P117&gt;30,200+S117,100+S117)</f>
        <v>121</v>
      </c>
    </row>
    <row r="119" spans="1:22" ht="15">
      <c r="A119" s="212" t="s">
        <v>338</v>
      </c>
      <c r="B119" s="213">
        <v>43693</v>
      </c>
      <c r="C119" s="212" t="s">
        <v>339</v>
      </c>
      <c r="D119" s="214">
        <v>786</v>
      </c>
      <c r="F119" s="121"/>
      <c r="K119" s="213">
        <v>43720</v>
      </c>
      <c r="M119" s="124">
        <f>+N119</f>
        <v>43721</v>
      </c>
      <c r="N119" s="213">
        <v>43721</v>
      </c>
      <c r="O119" s="97">
        <f>+K119-M119</f>
        <v>-1</v>
      </c>
      <c r="P119" s="97">
        <f>+N119-M119</f>
        <v>0</v>
      </c>
      <c r="Q119" s="97">
        <f>+N119-K119</f>
        <v>1</v>
      </c>
      <c r="R119" s="97">
        <f>+Q119-30</f>
        <v>-29</v>
      </c>
      <c r="S119">
        <v>29</v>
      </c>
      <c r="T119" s="131">
        <f>+P119*D119</f>
        <v>0</v>
      </c>
      <c r="U119" s="131">
        <f>+R119*D119</f>
        <v>-22794</v>
      </c>
      <c r="V119" s="118">
        <f>IF(P118&gt;30,200+S118,100+S118)</f>
        <v>129</v>
      </c>
    </row>
    <row r="120" spans="1:22" ht="15">
      <c r="A120" s="212" t="s">
        <v>340</v>
      </c>
      <c r="B120" s="213">
        <v>43647</v>
      </c>
      <c r="C120" s="212" t="s">
        <v>341</v>
      </c>
      <c r="D120" s="214">
        <v>3701.79</v>
      </c>
      <c r="F120" s="121"/>
      <c r="K120" s="213">
        <v>43647</v>
      </c>
      <c r="M120" s="124">
        <f>+N120</f>
        <v>43689</v>
      </c>
      <c r="N120" s="213">
        <v>43689</v>
      </c>
      <c r="O120" s="97">
        <f>+K120-M120</f>
        <v>-42</v>
      </c>
      <c r="P120" s="97">
        <f>+N120-M120</f>
        <v>0</v>
      </c>
      <c r="Q120" s="97">
        <f>+N120-K120</f>
        <v>42</v>
      </c>
      <c r="R120" s="97">
        <f>+Q120-30</f>
        <v>12</v>
      </c>
      <c r="S120">
        <v>21</v>
      </c>
      <c r="T120" s="131">
        <f>+P120*D120</f>
        <v>0</v>
      </c>
      <c r="U120" s="131">
        <f>+R120*D120</f>
        <v>44421.479999999996</v>
      </c>
      <c r="V120" s="118">
        <f>IF(P119&gt;30,200+S119,100+S119)</f>
        <v>129</v>
      </c>
    </row>
    <row r="121" spans="1:22" ht="15">
      <c r="A121" s="212" t="s">
        <v>342</v>
      </c>
      <c r="B121" s="213">
        <v>43647</v>
      </c>
      <c r="C121" s="212" t="s">
        <v>343</v>
      </c>
      <c r="D121" s="214">
        <v>2601.5</v>
      </c>
      <c r="F121" s="121"/>
      <c r="K121" s="213">
        <v>43647</v>
      </c>
      <c r="M121" s="124">
        <f>+N121</f>
        <v>43689</v>
      </c>
      <c r="N121" s="213">
        <v>43689</v>
      </c>
      <c r="O121" s="97">
        <f>+K121-M121</f>
        <v>-42</v>
      </c>
      <c r="P121" s="97">
        <f>+N121-M121</f>
        <v>0</v>
      </c>
      <c r="Q121" s="97">
        <f>+N121-K121</f>
        <v>42</v>
      </c>
      <c r="R121" s="97">
        <f>+Q121-30</f>
        <v>12</v>
      </c>
      <c r="S121">
        <v>69</v>
      </c>
      <c r="T121" s="131">
        <f>+P121*D121</f>
        <v>0</v>
      </c>
      <c r="U121" s="131">
        <f>+R121*D121</f>
        <v>31218</v>
      </c>
      <c r="V121" s="118">
        <f>IF(P120&gt;30,200+S120,100+S120)</f>
        <v>121</v>
      </c>
    </row>
    <row r="122" spans="1:22" ht="15">
      <c r="A122" s="212" t="s">
        <v>344</v>
      </c>
      <c r="B122" s="213">
        <v>43707</v>
      </c>
      <c r="C122" s="212" t="s">
        <v>345</v>
      </c>
      <c r="D122" s="214">
        <v>78.77</v>
      </c>
      <c r="F122" s="121"/>
      <c r="K122" s="213">
        <v>43720</v>
      </c>
      <c r="M122" s="124">
        <f>+N122</f>
        <v>43721</v>
      </c>
      <c r="N122" s="213">
        <v>43721</v>
      </c>
      <c r="O122" s="97">
        <f>+K122-M122</f>
        <v>-1</v>
      </c>
      <c r="P122" s="97">
        <f>+N122-M122</f>
        <v>0</v>
      </c>
      <c r="Q122" s="97">
        <f>+N122-K122</f>
        <v>1</v>
      </c>
      <c r="R122" s="97">
        <f>+Q122-30</f>
        <v>-29</v>
      </c>
      <c r="S122">
        <v>22</v>
      </c>
      <c r="T122" s="131">
        <f>+P122*D122</f>
        <v>0</v>
      </c>
      <c r="U122" s="131">
        <f>+R122*D122</f>
        <v>-2284.33</v>
      </c>
      <c r="V122" s="118">
        <f>IF(P121&gt;30,200+S121,100+S121)</f>
        <v>169</v>
      </c>
    </row>
    <row r="123" spans="1:22" ht="15">
      <c r="A123" s="212" t="s">
        <v>346</v>
      </c>
      <c r="B123" s="213">
        <v>43647</v>
      </c>
      <c r="C123" s="212" t="s">
        <v>347</v>
      </c>
      <c r="D123" s="214">
        <v>10054.01</v>
      </c>
      <c r="F123" s="121"/>
      <c r="K123" s="213">
        <v>43647</v>
      </c>
      <c r="M123" s="124">
        <f>+N123</f>
        <v>43689</v>
      </c>
      <c r="N123" s="213">
        <v>43689</v>
      </c>
      <c r="O123" s="97">
        <f>+K123-M123</f>
        <v>-42</v>
      </c>
      <c r="P123" s="97">
        <f>+N123-M123</f>
        <v>0</v>
      </c>
      <c r="Q123" s="97">
        <f>+N123-K123</f>
        <v>42</v>
      </c>
      <c r="R123" s="97">
        <f>+Q123-30</f>
        <v>12</v>
      </c>
      <c r="S123">
        <v>69</v>
      </c>
      <c r="T123" s="131">
        <f>+P123*D123</f>
        <v>0</v>
      </c>
      <c r="U123" s="131">
        <f>+R123*D123</f>
        <v>120648.12</v>
      </c>
      <c r="V123" s="118">
        <f>IF(P122&gt;30,200+S122,100+S122)</f>
        <v>122</v>
      </c>
    </row>
    <row r="124" spans="1:22" ht="15">
      <c r="A124" s="212" t="s">
        <v>348</v>
      </c>
      <c r="B124" s="213">
        <v>43647</v>
      </c>
      <c r="C124" s="212" t="s">
        <v>349</v>
      </c>
      <c r="D124" s="214">
        <v>1685.01</v>
      </c>
      <c r="F124" s="121"/>
      <c r="K124" s="213">
        <v>43647</v>
      </c>
      <c r="M124" s="124">
        <f>+N124</f>
        <v>43689</v>
      </c>
      <c r="N124" s="213">
        <v>43689</v>
      </c>
      <c r="O124" s="97">
        <f>+K124-M124</f>
        <v>-42</v>
      </c>
      <c r="P124" s="97">
        <f>+N124-M124</f>
        <v>0</v>
      </c>
      <c r="Q124" s="97">
        <f>+N124-K124</f>
        <v>42</v>
      </c>
      <c r="R124" s="97">
        <f>+Q124-30</f>
        <v>12</v>
      </c>
      <c r="S124">
        <v>69</v>
      </c>
      <c r="T124" s="131">
        <f>+P124*D124</f>
        <v>0</v>
      </c>
      <c r="U124" s="131">
        <f>+R124*D124</f>
        <v>20220.12</v>
      </c>
      <c r="V124" s="118">
        <f>IF(P123&gt;30,200+S123,100+S123)</f>
        <v>169</v>
      </c>
    </row>
    <row r="125" spans="1:22" ht="15">
      <c r="A125" s="212" t="s">
        <v>350</v>
      </c>
      <c r="B125" s="213">
        <v>43647</v>
      </c>
      <c r="C125" s="212" t="s">
        <v>351</v>
      </c>
      <c r="D125" s="214">
        <v>5868.5</v>
      </c>
      <c r="F125" s="121"/>
      <c r="K125" s="213">
        <v>43647</v>
      </c>
      <c r="M125" s="124">
        <f>+N125</f>
        <v>43689</v>
      </c>
      <c r="N125" s="213">
        <v>43689</v>
      </c>
      <c r="O125" s="97">
        <f>+K125-M125</f>
        <v>-42</v>
      </c>
      <c r="P125" s="97">
        <f>+N125-M125</f>
        <v>0</v>
      </c>
      <c r="Q125" s="97">
        <f>+N125-K125</f>
        <v>42</v>
      </c>
      <c r="R125" s="97">
        <f>+Q125-30</f>
        <v>12</v>
      </c>
      <c r="S125">
        <v>69</v>
      </c>
      <c r="T125" s="131">
        <f>+P125*D125</f>
        <v>0</v>
      </c>
      <c r="U125" s="131">
        <f>+R125*D125</f>
        <v>70422</v>
      </c>
      <c r="V125" s="118">
        <f>IF(P124&gt;30,200+S124,100+S124)</f>
        <v>169</v>
      </c>
    </row>
    <row r="126" spans="1:22" ht="15">
      <c r="A126" s="212" t="s">
        <v>352</v>
      </c>
      <c r="B126" s="213">
        <v>43647</v>
      </c>
      <c r="C126" s="212" t="s">
        <v>353</v>
      </c>
      <c r="D126" s="214">
        <v>3309.98</v>
      </c>
      <c r="F126" s="121"/>
      <c r="K126" s="213">
        <v>43647</v>
      </c>
      <c r="M126" s="124">
        <f>+N126</f>
        <v>43689</v>
      </c>
      <c r="N126" s="213">
        <v>43689</v>
      </c>
      <c r="O126" s="97">
        <f>+K126-M126</f>
        <v>-42</v>
      </c>
      <c r="P126" s="97">
        <f>+N126-M126</f>
        <v>0</v>
      </c>
      <c r="Q126" s="97">
        <f>+N126-K126</f>
        <v>42</v>
      </c>
      <c r="R126" s="97">
        <f>+Q126-30</f>
        <v>12</v>
      </c>
      <c r="S126">
        <v>69</v>
      </c>
      <c r="T126" s="131">
        <f>+P126*D126</f>
        <v>0</v>
      </c>
      <c r="U126" s="131">
        <f>+R126*D126</f>
        <v>39719.76</v>
      </c>
      <c r="V126" s="118">
        <f>IF(P125&gt;30,200+S125,100+S125)</f>
        <v>169</v>
      </c>
    </row>
    <row r="127" spans="1:22" ht="15">
      <c r="A127" s="212" t="s">
        <v>354</v>
      </c>
      <c r="B127" s="213">
        <v>43718</v>
      </c>
      <c r="C127" s="212" t="s">
        <v>355</v>
      </c>
      <c r="D127" s="214">
        <v>625</v>
      </c>
      <c r="F127" s="121"/>
      <c r="K127" s="213">
        <v>43721</v>
      </c>
      <c r="M127" s="124">
        <f>+N127</f>
        <v>43721</v>
      </c>
      <c r="N127" s="213">
        <v>43721</v>
      </c>
      <c r="O127" s="97">
        <f>+K127-M127</f>
        <v>0</v>
      </c>
      <c r="P127" s="97">
        <f>+N127-M127</f>
        <v>0</v>
      </c>
      <c r="Q127" s="97">
        <f>+N127-K127</f>
        <v>0</v>
      </c>
      <c r="R127" s="97">
        <f>+Q127-30</f>
        <v>-30</v>
      </c>
      <c r="S127">
        <v>29</v>
      </c>
      <c r="T127" s="131">
        <f>+P127*D127</f>
        <v>0</v>
      </c>
      <c r="U127" s="131">
        <f>+R127*D127</f>
        <v>-18750</v>
      </c>
      <c r="V127" s="118">
        <f>IF(P126&gt;30,200+S126,100+S126)</f>
        <v>169</v>
      </c>
    </row>
    <row r="128" spans="1:22" ht="15">
      <c r="A128" s="212" t="s">
        <v>356</v>
      </c>
      <c r="B128" s="213">
        <v>43709</v>
      </c>
      <c r="C128" s="212" t="s">
        <v>357</v>
      </c>
      <c r="D128" s="214">
        <v>114.95</v>
      </c>
      <c r="K128" s="213">
        <v>43721</v>
      </c>
      <c r="M128" s="124">
        <f>+N128</f>
        <v>43733</v>
      </c>
      <c r="N128" s="213">
        <v>43733</v>
      </c>
      <c r="O128" s="97">
        <f>+K128-M128</f>
        <v>-12</v>
      </c>
      <c r="P128" s="97">
        <f>+N128-M128</f>
        <v>0</v>
      </c>
      <c r="Q128" s="97">
        <f>+N128-K128</f>
        <v>12</v>
      </c>
      <c r="R128" s="97">
        <f>+Q128-30</f>
        <v>-18</v>
      </c>
      <c r="S128">
        <v>21</v>
      </c>
      <c r="T128" s="131">
        <f>+P128*D128</f>
        <v>0</v>
      </c>
      <c r="U128" s="131">
        <f>+R128*D128</f>
        <v>-2069.1</v>
      </c>
      <c r="V128" s="118">
        <f>IF(P127&gt;30,200+S127,100+S127)</f>
        <v>129</v>
      </c>
    </row>
    <row r="129" spans="1:22" ht="15">
      <c r="A129" s="212" t="s">
        <v>358</v>
      </c>
      <c r="B129" s="213">
        <v>43706</v>
      </c>
      <c r="C129" s="212" t="s">
        <v>359</v>
      </c>
      <c r="D129" s="214">
        <v>342.93</v>
      </c>
      <c r="K129" s="213">
        <v>43706</v>
      </c>
      <c r="M129" s="124">
        <f>+N129</f>
        <v>43727</v>
      </c>
      <c r="N129" s="213">
        <v>43727</v>
      </c>
      <c r="O129" s="97">
        <f>+K129-M129</f>
        <v>-21</v>
      </c>
      <c r="P129" s="97">
        <f>+N129-M129</f>
        <v>0</v>
      </c>
      <c r="Q129" s="97">
        <f>+N129-K129</f>
        <v>21</v>
      </c>
      <c r="R129" s="97">
        <f>+Q129-30</f>
        <v>-9</v>
      </c>
      <c r="S129">
        <v>29</v>
      </c>
      <c r="T129" s="131">
        <f>+P129*D129</f>
        <v>0</v>
      </c>
      <c r="U129" s="131">
        <f>+R129*D129</f>
        <v>-3086.37</v>
      </c>
      <c r="V129" s="118">
        <f>IF(P128&gt;30,200+S128,100+S128)</f>
        <v>121</v>
      </c>
    </row>
    <row r="130" spans="1:22" ht="15">
      <c r="A130" s="212" t="s">
        <v>360</v>
      </c>
      <c r="B130" s="213">
        <v>43702</v>
      </c>
      <c r="C130" s="212" t="s">
        <v>361</v>
      </c>
      <c r="D130" s="214">
        <v>1509.37</v>
      </c>
      <c r="K130" s="213">
        <v>43724</v>
      </c>
      <c r="M130" s="124">
        <f>+N130</f>
        <v>43735</v>
      </c>
      <c r="N130" s="213">
        <v>43735</v>
      </c>
      <c r="O130" s="97">
        <f>+K130-M130</f>
        <v>-11</v>
      </c>
      <c r="P130" s="97">
        <f>+N130-M130</f>
        <v>0</v>
      </c>
      <c r="Q130" s="97">
        <f>+N130-K130</f>
        <v>11</v>
      </c>
      <c r="R130" s="97">
        <f>+Q130-30</f>
        <v>-19</v>
      </c>
      <c r="S130">
        <v>21</v>
      </c>
      <c r="T130" s="131">
        <f>+P130*D130</f>
        <v>0</v>
      </c>
      <c r="U130" s="131">
        <f>+R130*D130</f>
        <v>-28678.03</v>
      </c>
      <c r="V130" s="118">
        <f>IF(P129&gt;30,200+S129,100+S129)</f>
        <v>129</v>
      </c>
    </row>
    <row r="131" spans="1:22" ht="15">
      <c r="A131" s="212" t="s">
        <v>362</v>
      </c>
      <c r="B131" s="213">
        <v>43708</v>
      </c>
      <c r="C131" s="212" t="s">
        <v>363</v>
      </c>
      <c r="D131" s="214">
        <v>2692.25</v>
      </c>
      <c r="K131" s="213">
        <v>43724</v>
      </c>
      <c r="M131" s="124">
        <f>+N131</f>
        <v>43735</v>
      </c>
      <c r="N131" s="213">
        <v>43735</v>
      </c>
      <c r="O131" s="97">
        <f>+K131-M131</f>
        <v>-11</v>
      </c>
      <c r="P131" s="97">
        <f>+N131-M131</f>
        <v>0</v>
      </c>
      <c r="Q131" s="97">
        <f>+N131-K131</f>
        <v>11</v>
      </c>
      <c r="R131" s="97">
        <f>+Q131-30</f>
        <v>-19</v>
      </c>
      <c r="S131">
        <v>29</v>
      </c>
      <c r="T131" s="131">
        <f>+P131*D131</f>
        <v>0</v>
      </c>
      <c r="U131" s="131">
        <f>+R131*D131</f>
        <v>-51152.75</v>
      </c>
      <c r="V131" s="118">
        <f>IF(P130&gt;30,200+S130,100+S130)</f>
        <v>121</v>
      </c>
    </row>
    <row r="132" spans="1:22" ht="15">
      <c r="A132" s="212" t="s">
        <v>364</v>
      </c>
      <c r="B132" s="213">
        <v>43708</v>
      </c>
      <c r="C132" s="212" t="s">
        <v>365</v>
      </c>
      <c r="D132" s="214">
        <v>362.45</v>
      </c>
      <c r="K132" s="213">
        <v>43724</v>
      </c>
      <c r="M132" s="124">
        <f>+N132</f>
        <v>43705</v>
      </c>
      <c r="N132" s="213">
        <v>43705</v>
      </c>
      <c r="O132" s="97">
        <f>+K132-M132</f>
        <v>19</v>
      </c>
      <c r="P132" s="97">
        <f>+N132-M132</f>
        <v>0</v>
      </c>
      <c r="Q132" s="97">
        <f>+N132-K132</f>
        <v>-19</v>
      </c>
      <c r="R132" s="97">
        <f>+Q132-30</f>
        <v>-49</v>
      </c>
      <c r="S132">
        <v>29</v>
      </c>
      <c r="T132" s="131">
        <f>+P132*D132</f>
        <v>0</v>
      </c>
      <c r="U132" s="131">
        <f>+R132*D132</f>
        <v>-17760.05</v>
      </c>
      <c r="V132" s="118">
        <f>IF(P131&gt;30,200+S131,100+S131)</f>
        <v>129</v>
      </c>
    </row>
    <row r="133" spans="1:22" ht="15">
      <c r="A133" s="212" t="s">
        <v>366</v>
      </c>
      <c r="B133" s="213">
        <v>43708</v>
      </c>
      <c r="C133" s="212" t="s">
        <v>367</v>
      </c>
      <c r="D133" s="214">
        <v>1250.34</v>
      </c>
      <c r="K133" s="213">
        <v>43724</v>
      </c>
      <c r="M133" s="124">
        <f>+N133</f>
        <v>43735</v>
      </c>
      <c r="N133" s="213">
        <v>43735</v>
      </c>
      <c r="O133" s="97">
        <f>+K133-M133</f>
        <v>-11</v>
      </c>
      <c r="P133" s="97">
        <f>+N133-M133</f>
        <v>0</v>
      </c>
      <c r="Q133" s="97">
        <f>+N133-K133</f>
        <v>11</v>
      </c>
      <c r="R133" s="97">
        <f>+Q133-30</f>
        <v>-19</v>
      </c>
      <c r="S133">
        <v>29</v>
      </c>
      <c r="T133" s="131">
        <f>+P133*D133</f>
        <v>0</v>
      </c>
      <c r="U133" s="131">
        <f>+R133*D133</f>
        <v>-23756.46</v>
      </c>
      <c r="V133" s="118">
        <f>IF(P132&gt;30,200+S132,100+S132)</f>
        <v>129</v>
      </c>
    </row>
    <row r="134" spans="1:22" ht="15">
      <c r="A134" s="212" t="s">
        <v>368</v>
      </c>
      <c r="B134" s="213">
        <v>43711</v>
      </c>
      <c r="C134" s="212" t="s">
        <v>369</v>
      </c>
      <c r="D134" s="214">
        <v>1815</v>
      </c>
      <c r="K134" s="213">
        <v>43724</v>
      </c>
      <c r="M134" s="124">
        <f>+N134</f>
        <v>43735</v>
      </c>
      <c r="N134" s="213">
        <v>43735</v>
      </c>
      <c r="O134" s="97">
        <f>+K134-M134</f>
        <v>-11</v>
      </c>
      <c r="P134" s="97">
        <f>+N134-M134</f>
        <v>0</v>
      </c>
      <c r="Q134" s="97">
        <f>+N134-K134</f>
        <v>11</v>
      </c>
      <c r="R134" s="97">
        <f>+Q134-30</f>
        <v>-19</v>
      </c>
      <c r="S134">
        <v>29</v>
      </c>
      <c r="T134" s="131">
        <f>+P134*D134</f>
        <v>0</v>
      </c>
      <c r="U134" s="131">
        <f>+R134*D134</f>
        <v>-34485</v>
      </c>
      <c r="V134" s="118">
        <f>IF(P133&gt;30,200+S133,100+S133)</f>
        <v>129</v>
      </c>
    </row>
    <row r="135" spans="1:22" ht="15">
      <c r="A135" s="212" t="s">
        <v>370</v>
      </c>
      <c r="B135" s="213">
        <v>43708</v>
      </c>
      <c r="C135" s="212" t="s">
        <v>371</v>
      </c>
      <c r="D135" s="214">
        <v>346.06</v>
      </c>
      <c r="K135" s="213">
        <v>43708</v>
      </c>
      <c r="M135" s="124">
        <f>+N135</f>
        <v>43711</v>
      </c>
      <c r="N135" s="213">
        <v>43711</v>
      </c>
      <c r="O135" s="97">
        <f>+K135-M135</f>
        <v>-3</v>
      </c>
      <c r="P135" s="97">
        <f>+N135-M135</f>
        <v>0</v>
      </c>
      <c r="Q135" s="97">
        <f>+N135-K135</f>
        <v>3</v>
      </c>
      <c r="R135" s="97">
        <f>+Q135-30</f>
        <v>-27</v>
      </c>
      <c r="S135">
        <v>29</v>
      </c>
      <c r="T135" s="131">
        <f>+P135*D135</f>
        <v>0</v>
      </c>
      <c r="U135" s="131">
        <f>+R135*D135</f>
        <v>-9343.62</v>
      </c>
      <c r="V135" s="118">
        <f>IF(P134&gt;30,200+S134,100+S134)</f>
        <v>129</v>
      </c>
    </row>
    <row r="136" spans="1:22" ht="15">
      <c r="A136" s="212" t="s">
        <v>372</v>
      </c>
      <c r="B136" s="213">
        <v>43724</v>
      </c>
      <c r="C136" s="212" t="s">
        <v>373</v>
      </c>
      <c r="D136" s="214">
        <v>331.54</v>
      </c>
      <c r="K136" s="213">
        <v>43724</v>
      </c>
      <c r="M136" s="124">
        <f>+N136</f>
        <v>43721</v>
      </c>
      <c r="N136" s="213">
        <v>43721</v>
      </c>
      <c r="O136" s="97">
        <f>+K136-M136</f>
        <v>3</v>
      </c>
      <c r="P136" s="97">
        <f>+N136-M136</f>
        <v>0</v>
      </c>
      <c r="Q136" s="97">
        <f>+N136-K136</f>
        <v>-3</v>
      </c>
      <c r="R136" s="97">
        <f>+Q136-30</f>
        <v>-33</v>
      </c>
      <c r="S136">
        <v>21</v>
      </c>
      <c r="T136" s="131">
        <f>+P136*D136</f>
        <v>0</v>
      </c>
      <c r="U136" s="131">
        <f>+R136*D136</f>
        <v>-10940.820000000002</v>
      </c>
      <c r="V136" s="118">
        <f>IF(P135&gt;30,200+S135,100+S135)</f>
        <v>129</v>
      </c>
    </row>
    <row r="137" spans="1:22" ht="15">
      <c r="A137" s="212" t="s">
        <v>374</v>
      </c>
      <c r="B137" s="213">
        <v>43708</v>
      </c>
      <c r="C137" s="212" t="s">
        <v>375</v>
      </c>
      <c r="D137" s="214">
        <v>1464.06</v>
      </c>
      <c r="K137" s="213">
        <v>43708</v>
      </c>
      <c r="M137" s="124">
        <f>+N137</f>
        <v>43711</v>
      </c>
      <c r="N137" s="213">
        <v>43711</v>
      </c>
      <c r="O137" s="97">
        <f>+K137-M137</f>
        <v>-3</v>
      </c>
      <c r="P137" s="97">
        <f>+N137-M137</f>
        <v>0</v>
      </c>
      <c r="Q137" s="97">
        <f>+N137-K137</f>
        <v>3</v>
      </c>
      <c r="R137" s="97">
        <f>+Q137-30</f>
        <v>-27</v>
      </c>
      <c r="S137">
        <v>29</v>
      </c>
      <c r="T137" s="131">
        <f>+P137*D137</f>
        <v>0</v>
      </c>
      <c r="U137" s="131">
        <f>+R137*D137</f>
        <v>-39529.619999999995</v>
      </c>
      <c r="V137" s="118">
        <f>IF(P136&gt;30,200+S136,100+S136)</f>
        <v>121</v>
      </c>
    </row>
    <row r="138" spans="1:22" ht="15">
      <c r="A138" s="212" t="s">
        <v>376</v>
      </c>
      <c r="B138" s="213">
        <v>43720</v>
      </c>
      <c r="C138" s="212" t="s">
        <v>377</v>
      </c>
      <c r="D138" s="214">
        <v>8.62</v>
      </c>
      <c r="K138" s="213">
        <v>43725</v>
      </c>
      <c r="M138" s="124">
        <f>+N138</f>
        <v>43735</v>
      </c>
      <c r="N138" s="213">
        <v>43735</v>
      </c>
      <c r="O138" s="97">
        <f>+K138-M138</f>
        <v>-10</v>
      </c>
      <c r="P138" s="97">
        <f>+N138-M138</f>
        <v>0</v>
      </c>
      <c r="Q138" s="97">
        <f>+N138-K138</f>
        <v>10</v>
      </c>
      <c r="R138" s="97">
        <f>+Q138-30</f>
        <v>-20</v>
      </c>
      <c r="S138">
        <v>29</v>
      </c>
      <c r="T138" s="131">
        <f>+P138*D138</f>
        <v>0</v>
      </c>
      <c r="U138" s="131">
        <f>+R138*D138</f>
        <v>-172.39999999999998</v>
      </c>
      <c r="V138" s="118">
        <f>IF(P137&gt;30,200+S137,100+S137)</f>
        <v>129</v>
      </c>
    </row>
    <row r="139" spans="1:22" ht="15">
      <c r="A139" s="212" t="s">
        <v>378</v>
      </c>
      <c r="B139" s="213">
        <v>43710</v>
      </c>
      <c r="C139" s="212" t="s">
        <v>379</v>
      </c>
      <c r="D139" s="214">
        <v>-8.37</v>
      </c>
      <c r="K139" s="213">
        <v>43727</v>
      </c>
      <c r="M139" s="124">
        <f>+N139</f>
        <v>43714</v>
      </c>
      <c r="N139" s="213">
        <v>43714</v>
      </c>
      <c r="O139" s="97">
        <f>+K139-M139</f>
        <v>13</v>
      </c>
      <c r="P139" s="97">
        <f>+N139-M139</f>
        <v>0</v>
      </c>
      <c r="Q139" s="97">
        <f>+N139-K139</f>
        <v>-13</v>
      </c>
      <c r="R139" s="97">
        <f>+Q139-30</f>
        <v>-43</v>
      </c>
      <c r="S139">
        <v>29</v>
      </c>
      <c r="T139" s="131">
        <f>+P139*D139</f>
        <v>0</v>
      </c>
      <c r="U139" s="131">
        <f>+R139*D139</f>
        <v>359.90999999999997</v>
      </c>
      <c r="V139" s="118">
        <f>IF(P138&gt;30,200+S138,100+S138)</f>
        <v>129</v>
      </c>
    </row>
    <row r="140" spans="1:22" ht="15">
      <c r="A140" s="212" t="s">
        <v>380</v>
      </c>
      <c r="B140" s="213">
        <v>43727</v>
      </c>
      <c r="C140" s="212" t="s">
        <v>381</v>
      </c>
      <c r="D140" s="214">
        <v>7405.2</v>
      </c>
      <c r="K140" s="213">
        <v>43731</v>
      </c>
      <c r="M140" s="124">
        <f>+N140</f>
        <v>43732</v>
      </c>
      <c r="N140" s="213">
        <v>43732</v>
      </c>
      <c r="O140" s="97">
        <f>+K140-M140</f>
        <v>-1</v>
      </c>
      <c r="P140" s="97">
        <f>+N140-M140</f>
        <v>0</v>
      </c>
      <c r="Q140" s="97">
        <f>+N140-K140</f>
        <v>1</v>
      </c>
      <c r="R140" s="97">
        <f>+Q140-30</f>
        <v>-29</v>
      </c>
      <c r="S140">
        <v>29</v>
      </c>
      <c r="T140" s="131">
        <f>+P140*D140</f>
        <v>0</v>
      </c>
      <c r="U140" s="131">
        <f>+R140*D140</f>
        <v>-214750.8</v>
      </c>
      <c r="V140" s="118">
        <f>IF(P139&gt;30,200+S139,100+S139)</f>
        <v>129</v>
      </c>
    </row>
    <row r="141" spans="1:22" ht="15">
      <c r="A141" s="212" t="s">
        <v>382</v>
      </c>
      <c r="B141" s="213">
        <v>43647</v>
      </c>
      <c r="C141" s="212" t="s">
        <v>383</v>
      </c>
      <c r="D141" s="214">
        <v>1226.94</v>
      </c>
      <c r="K141" s="213">
        <v>43647</v>
      </c>
      <c r="M141" s="124">
        <f>+N141</f>
        <v>43676</v>
      </c>
      <c r="N141" s="213">
        <v>43676</v>
      </c>
      <c r="O141" s="97">
        <f>+K141-M141</f>
        <v>-29</v>
      </c>
      <c r="P141" s="97">
        <f>+N141-M141</f>
        <v>0</v>
      </c>
      <c r="Q141" s="97">
        <f>+N141-K141</f>
        <v>29</v>
      </c>
      <c r="R141" s="97">
        <f>+Q141-30</f>
        <v>-1</v>
      </c>
      <c r="S141">
        <v>29</v>
      </c>
      <c r="T141" s="131">
        <f>+P141*D141</f>
        <v>0</v>
      </c>
      <c r="U141" s="131">
        <f>+R141*D141</f>
        <v>-1226.94</v>
      </c>
      <c r="V141" s="118">
        <f>IF(P140&gt;30,200+S140,100+S140)</f>
        <v>129</v>
      </c>
    </row>
    <row r="142" spans="1:22" ht="15">
      <c r="A142" s="212" t="s">
        <v>384</v>
      </c>
      <c r="B142" s="213">
        <v>43725</v>
      </c>
      <c r="C142" s="212" t="s">
        <v>385</v>
      </c>
      <c r="D142" s="214">
        <v>1987.43</v>
      </c>
      <c r="K142" s="213">
        <v>43732</v>
      </c>
      <c r="M142" s="124">
        <f>+N142</f>
        <v>43735</v>
      </c>
      <c r="N142" s="213">
        <v>43735</v>
      </c>
      <c r="O142" s="97">
        <f>+K142-M142</f>
        <v>-3</v>
      </c>
      <c r="P142" s="97">
        <f>+N142-M142</f>
        <v>0</v>
      </c>
      <c r="Q142" s="97">
        <f>+N142-K142</f>
        <v>3</v>
      </c>
      <c r="R142" s="97">
        <f>+Q142-30</f>
        <v>-27</v>
      </c>
      <c r="S142">
        <v>29</v>
      </c>
      <c r="T142" s="131">
        <f>+P142*D142</f>
        <v>0</v>
      </c>
      <c r="U142" s="131">
        <f>+R142*D142</f>
        <v>-53660.61</v>
      </c>
      <c r="V142" s="118">
        <f>IF(P141&gt;30,200+S141,100+S141)</f>
        <v>129</v>
      </c>
    </row>
    <row r="143" spans="1:22" ht="15">
      <c r="A143" s="212" t="s">
        <v>386</v>
      </c>
      <c r="B143" s="213">
        <v>43725</v>
      </c>
      <c r="C143" s="212" t="s">
        <v>387</v>
      </c>
      <c r="D143" s="214">
        <v>1520.97</v>
      </c>
      <c r="K143" s="213">
        <v>43732</v>
      </c>
      <c r="M143" s="124">
        <f>+N143</f>
        <v>43735</v>
      </c>
      <c r="N143" s="213">
        <v>43735</v>
      </c>
      <c r="O143" s="97">
        <f>+K143-M143</f>
        <v>-3</v>
      </c>
      <c r="P143" s="97">
        <f>+N143-M143</f>
        <v>0</v>
      </c>
      <c r="Q143" s="97">
        <f>+N143-K143</f>
        <v>3</v>
      </c>
      <c r="R143" s="97">
        <f>+Q143-30</f>
        <v>-27</v>
      </c>
      <c r="S143">
        <v>29</v>
      </c>
      <c r="T143" s="131">
        <f>+P143*D143</f>
        <v>0</v>
      </c>
      <c r="U143" s="131">
        <f>+R143*D143</f>
        <v>-41066.19</v>
      </c>
      <c r="V143" s="118">
        <f>IF(P142&gt;30,200+S142,100+S142)</f>
        <v>129</v>
      </c>
    </row>
    <row r="144" spans="1:22" ht="15">
      <c r="A144" s="212" t="s">
        <v>388</v>
      </c>
      <c r="B144" s="213">
        <v>43731</v>
      </c>
      <c r="C144" s="212" t="s">
        <v>389</v>
      </c>
      <c r="D144" s="214">
        <v>2880</v>
      </c>
      <c r="K144" s="213">
        <v>43732</v>
      </c>
      <c r="M144" s="124">
        <f>+N144</f>
        <v>43738</v>
      </c>
      <c r="N144" s="213">
        <v>43738</v>
      </c>
      <c r="O144" s="97">
        <f>+K144-M144</f>
        <v>-6</v>
      </c>
      <c r="P144" s="97">
        <f>+N144-M144</f>
        <v>0</v>
      </c>
      <c r="Q144" s="97">
        <f>+N144-K144</f>
        <v>6</v>
      </c>
      <c r="R144" s="97">
        <f>+Q144-30</f>
        <v>-24</v>
      </c>
      <c r="S144">
        <v>29</v>
      </c>
      <c r="T144" s="131">
        <f>+P144*D144</f>
        <v>0</v>
      </c>
      <c r="U144" s="131">
        <f>+R144*D144</f>
        <v>-69120</v>
      </c>
      <c r="V144" s="118">
        <f>IF(P143&gt;30,200+S143,100+S143)</f>
        <v>129</v>
      </c>
    </row>
    <row r="145" spans="1:22" ht="15">
      <c r="A145" s="212" t="s">
        <v>392</v>
      </c>
      <c r="B145" s="213">
        <v>43708</v>
      </c>
      <c r="C145" s="212" t="s">
        <v>393</v>
      </c>
      <c r="D145" s="214">
        <v>50.6</v>
      </c>
      <c r="K145" s="213">
        <v>43732</v>
      </c>
      <c r="M145" s="124">
        <f>+N145</f>
        <v>43738</v>
      </c>
      <c r="N145" s="213">
        <v>43738</v>
      </c>
      <c r="O145" s="97">
        <f>+K145-M145</f>
        <v>-6</v>
      </c>
      <c r="P145" s="97">
        <f>+N145-M145</f>
        <v>0</v>
      </c>
      <c r="Q145" s="97">
        <f>+N145-K145</f>
        <v>6</v>
      </c>
      <c r="R145" s="97">
        <f>+Q145-30</f>
        <v>-24</v>
      </c>
      <c r="S145">
        <v>29</v>
      </c>
      <c r="T145" s="131">
        <f>+P145*D145</f>
        <v>0</v>
      </c>
      <c r="U145" s="131">
        <f>+R145*D145</f>
        <v>-1214.4</v>
      </c>
      <c r="V145" s="118">
        <f>IF(xehet2!P10&gt;30,200+xehet2!S10,100+xehet2!S10)</f>
        <v>121</v>
      </c>
    </row>
    <row r="146" spans="1:22" ht="15">
      <c r="A146" s="212" t="s">
        <v>394</v>
      </c>
      <c r="B146" s="213">
        <v>43665</v>
      </c>
      <c r="C146" s="212" t="s">
        <v>395</v>
      </c>
      <c r="D146" s="214">
        <v>65.4</v>
      </c>
      <c r="K146" s="213">
        <v>43665</v>
      </c>
      <c r="M146" s="124">
        <f>+N146</f>
        <v>43665</v>
      </c>
      <c r="N146" s="213">
        <v>43665</v>
      </c>
      <c r="O146" s="97">
        <f>+K146-M146</f>
        <v>0</v>
      </c>
      <c r="P146" s="97">
        <f>+N146-M146</f>
        <v>0</v>
      </c>
      <c r="Q146" s="97">
        <f>+N146-K146</f>
        <v>0</v>
      </c>
      <c r="R146" s="97">
        <f>+Q146-30</f>
        <v>-30</v>
      </c>
      <c r="S146">
        <v>29</v>
      </c>
      <c r="T146" s="131">
        <f>+P146*D146</f>
        <v>0</v>
      </c>
      <c r="U146" s="131">
        <f>+R146*D146</f>
        <v>-1962.0000000000002</v>
      </c>
      <c r="V146" s="118">
        <f>IF(P145&gt;30,200+S145,100+S145)</f>
        <v>129</v>
      </c>
    </row>
    <row r="147" spans="1:22" ht="15">
      <c r="A147" s="212" t="s">
        <v>396</v>
      </c>
      <c r="B147" s="213">
        <v>43696</v>
      </c>
      <c r="C147" s="212" t="s">
        <v>397</v>
      </c>
      <c r="D147" s="214">
        <v>65.4</v>
      </c>
      <c r="K147" s="213">
        <v>43696</v>
      </c>
      <c r="M147" s="124">
        <f>+N147</f>
        <v>43696</v>
      </c>
      <c r="N147" s="213">
        <v>43696</v>
      </c>
      <c r="O147" s="97">
        <f>+K147-M147</f>
        <v>0</v>
      </c>
      <c r="P147" s="97">
        <f>+N147-M147</f>
        <v>0</v>
      </c>
      <c r="Q147" s="97">
        <f>+N147-K147</f>
        <v>0</v>
      </c>
      <c r="R147" s="97">
        <f>+Q147-30</f>
        <v>-30</v>
      </c>
      <c r="S147">
        <v>29</v>
      </c>
      <c r="T147" s="131">
        <f>+P147*D147</f>
        <v>0</v>
      </c>
      <c r="U147" s="131">
        <f>+R147*D147</f>
        <v>-1962.0000000000002</v>
      </c>
      <c r="V147" s="118">
        <f>IF(P146&gt;30,200+S146,100+S146)</f>
        <v>129</v>
      </c>
    </row>
    <row r="148" spans="1:22" ht="15">
      <c r="A148" s="212" t="s">
        <v>398</v>
      </c>
      <c r="B148" s="213">
        <v>43727</v>
      </c>
      <c r="C148" s="212" t="s">
        <v>399</v>
      </c>
      <c r="D148" s="214">
        <v>65.4</v>
      </c>
      <c r="K148" s="213">
        <v>43727</v>
      </c>
      <c r="M148" s="124">
        <f>+N148</f>
        <v>43727</v>
      </c>
      <c r="N148" s="213">
        <v>43727</v>
      </c>
      <c r="O148" s="97">
        <f>+K148-M148</f>
        <v>0</v>
      </c>
      <c r="P148" s="97">
        <f>+N148-M148</f>
        <v>0</v>
      </c>
      <c r="Q148" s="97">
        <f>+N148-K148</f>
        <v>0</v>
      </c>
      <c r="R148" s="97">
        <f>+Q148-30</f>
        <v>-30</v>
      </c>
      <c r="S148">
        <v>29</v>
      </c>
      <c r="T148" s="131">
        <f>+P148*D148</f>
        <v>0</v>
      </c>
      <c r="U148" s="131">
        <f>+R148*D148</f>
        <v>-1962.0000000000002</v>
      </c>
      <c r="V148" s="118">
        <f>IF(P147&gt;30,200+S147,100+S147)</f>
        <v>129</v>
      </c>
    </row>
    <row r="149" spans="1:22" ht="15">
      <c r="A149" s="212" t="s">
        <v>400</v>
      </c>
      <c r="B149" s="213">
        <v>43678</v>
      </c>
      <c r="C149" s="212" t="s">
        <v>401</v>
      </c>
      <c r="D149" s="214">
        <v>61.41</v>
      </c>
      <c r="K149" s="213">
        <v>43678</v>
      </c>
      <c r="M149" s="124">
        <f>+N149</f>
        <v>43682</v>
      </c>
      <c r="N149" s="213">
        <v>43682</v>
      </c>
      <c r="O149" s="97">
        <f>+K149-M149</f>
        <v>-4</v>
      </c>
      <c r="P149" s="97">
        <f>+N149-M149</f>
        <v>0</v>
      </c>
      <c r="Q149" s="97">
        <f>+N149-K149</f>
        <v>4</v>
      </c>
      <c r="R149" s="97">
        <f>+Q149-30</f>
        <v>-26</v>
      </c>
      <c r="S149">
        <v>20</v>
      </c>
      <c r="T149" s="131">
        <f>+P149*D149</f>
        <v>0</v>
      </c>
      <c r="U149" s="131">
        <f>+R149*D149</f>
        <v>-1596.6599999999999</v>
      </c>
      <c r="V149" s="118">
        <f>IF(P148&gt;30,200+S148,100+S148)</f>
        <v>129</v>
      </c>
    </row>
    <row r="150" spans="1:22" ht="15">
      <c r="A150" s="212" t="s">
        <v>402</v>
      </c>
      <c r="B150" s="213">
        <v>43676</v>
      </c>
      <c r="C150" s="212" t="s">
        <v>403</v>
      </c>
      <c r="D150" s="214">
        <v>326.18</v>
      </c>
      <c r="K150" s="213">
        <v>43676</v>
      </c>
      <c r="M150" s="124">
        <f>+N150</f>
        <v>43693</v>
      </c>
      <c r="N150" s="213">
        <v>43693</v>
      </c>
      <c r="O150" s="97">
        <f>+K150-M150</f>
        <v>-17</v>
      </c>
      <c r="P150" s="97">
        <f>+N150-M150</f>
        <v>0</v>
      </c>
      <c r="Q150" s="97">
        <f>+N150-K150</f>
        <v>17</v>
      </c>
      <c r="R150" s="97">
        <f>+Q150-30</f>
        <v>-13</v>
      </c>
      <c r="S150">
        <v>29</v>
      </c>
      <c r="T150" s="131">
        <f>+P150*D150</f>
        <v>0</v>
      </c>
      <c r="U150" s="131">
        <f>+R150*D150</f>
        <v>-4240.34</v>
      </c>
      <c r="V150" s="118">
        <f>IF(P149&gt;30,200+S149,100+S149)</f>
        <v>120</v>
      </c>
    </row>
    <row r="151" spans="1:22" ht="15">
      <c r="A151" s="212" t="s">
        <v>404</v>
      </c>
      <c r="B151" s="213">
        <v>43676</v>
      </c>
      <c r="C151" s="212" t="s">
        <v>405</v>
      </c>
      <c r="D151" s="214">
        <v>411.24</v>
      </c>
      <c r="K151" s="213">
        <v>43676</v>
      </c>
      <c r="M151" s="124">
        <f>+N151</f>
        <v>43693</v>
      </c>
      <c r="N151" s="213">
        <v>43693</v>
      </c>
      <c r="O151" s="97">
        <f>+K151-M151</f>
        <v>-17</v>
      </c>
      <c r="P151" s="97">
        <f>+N151-M151</f>
        <v>0</v>
      </c>
      <c r="Q151" s="97">
        <f>+N151-K151</f>
        <v>17</v>
      </c>
      <c r="R151" s="97">
        <f>+Q151-30</f>
        <v>-13</v>
      </c>
      <c r="S151">
        <v>29</v>
      </c>
      <c r="T151" s="131">
        <f>+P151*D151</f>
        <v>0</v>
      </c>
      <c r="U151" s="131">
        <f>+R151*D151</f>
        <v>-5346.12</v>
      </c>
      <c r="V151" s="118">
        <f>IF(P150&gt;30,200+S150,100+S150)</f>
        <v>129</v>
      </c>
    </row>
    <row r="152" spans="1:22" ht="15">
      <c r="A152" s="212" t="s">
        <v>406</v>
      </c>
      <c r="B152" s="213">
        <v>43706</v>
      </c>
      <c r="C152" s="212" t="s">
        <v>407</v>
      </c>
      <c r="D152" s="214">
        <v>361.19</v>
      </c>
      <c r="K152" s="213">
        <v>43706</v>
      </c>
      <c r="M152" s="124">
        <f>+N152</f>
        <v>43727</v>
      </c>
      <c r="N152" s="213">
        <v>43727</v>
      </c>
      <c r="O152" s="97">
        <f>+K152-M152</f>
        <v>-21</v>
      </c>
      <c r="P152" s="97">
        <f>+N152-M152</f>
        <v>0</v>
      </c>
      <c r="Q152" s="97">
        <f>+N152-K152</f>
        <v>21</v>
      </c>
      <c r="R152" s="97">
        <f>+Q152-30</f>
        <v>-9</v>
      </c>
      <c r="S152">
        <v>29</v>
      </c>
      <c r="T152" s="131">
        <f>+P152*D152</f>
        <v>0</v>
      </c>
      <c r="U152" s="131">
        <f>+R152*D152</f>
        <v>-3250.71</v>
      </c>
      <c r="V152" s="118">
        <f>IF(P151&gt;30,200+S151,100+S151)</f>
        <v>129</v>
      </c>
    </row>
    <row r="153" spans="1:22" ht="15">
      <c r="A153" s="212" t="s">
        <v>408</v>
      </c>
      <c r="B153" s="213">
        <v>43678</v>
      </c>
      <c r="C153" s="212" t="s">
        <v>409</v>
      </c>
      <c r="D153" s="214">
        <v>60.7</v>
      </c>
      <c r="K153" s="213">
        <v>43678</v>
      </c>
      <c r="M153" s="124">
        <f>+N153</f>
        <v>43678</v>
      </c>
      <c r="N153" s="213">
        <v>43678</v>
      </c>
      <c r="O153" s="97">
        <f>+K153-M153</f>
        <v>0</v>
      </c>
      <c r="P153" s="97">
        <f>+N153-M153</f>
        <v>0</v>
      </c>
      <c r="Q153" s="97">
        <f>+N153-K153</f>
        <v>0</v>
      </c>
      <c r="R153" s="97">
        <f>+Q153-30</f>
        <v>-30</v>
      </c>
      <c r="S153">
        <v>29</v>
      </c>
      <c r="T153" s="131">
        <f>+P153*D153</f>
        <v>0</v>
      </c>
      <c r="U153" s="131">
        <f>+R153*D153</f>
        <v>-1821</v>
      </c>
      <c r="V153" s="118">
        <f>IF(P152&gt;30,200+S152,100+S152)</f>
        <v>129</v>
      </c>
    </row>
    <row r="154" spans="1:22" ht="15">
      <c r="A154" s="212" t="s">
        <v>410</v>
      </c>
      <c r="B154" s="213">
        <v>43709</v>
      </c>
      <c r="C154" s="212" t="s">
        <v>411</v>
      </c>
      <c r="D154" s="214">
        <v>46.4</v>
      </c>
      <c r="K154" s="213">
        <v>43709</v>
      </c>
      <c r="M154" s="124">
        <f>+N154</f>
        <v>43710</v>
      </c>
      <c r="N154" s="213">
        <v>43710</v>
      </c>
      <c r="O154" s="97">
        <f>+K154-M154</f>
        <v>-1</v>
      </c>
      <c r="P154" s="97">
        <f>+N154-M154</f>
        <v>0</v>
      </c>
      <c r="Q154" s="97">
        <f>+N154-K154</f>
        <v>1</v>
      </c>
      <c r="R154" s="97">
        <f>+Q154-30</f>
        <v>-29</v>
      </c>
      <c r="S154">
        <v>29</v>
      </c>
      <c r="T154" s="131">
        <f>+P154*D154</f>
        <v>0</v>
      </c>
      <c r="U154" s="131">
        <f>+R154*D154</f>
        <v>-1345.6</v>
      </c>
      <c r="V154" s="118">
        <f>IF(P153&gt;30,200+S153,100+S153)</f>
        <v>129</v>
      </c>
    </row>
    <row r="155" spans="1:22" ht="15">
      <c r="A155" s="212" t="s">
        <v>412</v>
      </c>
      <c r="B155" s="213">
        <v>43665</v>
      </c>
      <c r="C155" s="212" t="s">
        <v>413</v>
      </c>
      <c r="D155" s="214">
        <v>613.53</v>
      </c>
      <c r="K155" s="213">
        <v>43665</v>
      </c>
      <c r="M155" s="124">
        <f>+N155</f>
        <v>43696</v>
      </c>
      <c r="N155" s="213">
        <v>43696</v>
      </c>
      <c r="O155" s="97">
        <f>+K155-M155</f>
        <v>-31</v>
      </c>
      <c r="P155" s="97">
        <f>+N155-M155</f>
        <v>0</v>
      </c>
      <c r="Q155" s="97">
        <f>+N155-K155</f>
        <v>31</v>
      </c>
      <c r="R155" s="97">
        <f>+Q155-30</f>
        <v>1</v>
      </c>
      <c r="S155">
        <v>21</v>
      </c>
      <c r="T155" s="131">
        <f>+P155*D155</f>
        <v>0</v>
      </c>
      <c r="U155" s="131">
        <f>+R155*D155</f>
        <v>613.53</v>
      </c>
      <c r="V155" s="118">
        <f>IF(P154&gt;30,200+S154,100+S154)</f>
        <v>129</v>
      </c>
    </row>
    <row r="156" spans="1:22" ht="15">
      <c r="A156" s="212" t="s">
        <v>414</v>
      </c>
      <c r="B156" s="213">
        <v>43710</v>
      </c>
      <c r="C156" s="212" t="s">
        <v>415</v>
      </c>
      <c r="D156" s="214">
        <v>217.8</v>
      </c>
      <c r="K156" s="213">
        <v>43733</v>
      </c>
      <c r="M156" s="124">
        <f>+N156</f>
        <v>43713</v>
      </c>
      <c r="N156" s="213">
        <v>43713</v>
      </c>
      <c r="O156" s="97">
        <f>+K156-M156</f>
        <v>20</v>
      </c>
      <c r="P156" s="97">
        <f>+N156-M156</f>
        <v>0</v>
      </c>
      <c r="Q156" s="97">
        <f>+N156-K156</f>
        <v>-20</v>
      </c>
      <c r="R156" s="97">
        <f>+Q156-30</f>
        <v>-50</v>
      </c>
      <c r="S156">
        <v>20</v>
      </c>
      <c r="T156" s="131">
        <f>+P156*D156</f>
        <v>0</v>
      </c>
      <c r="U156" s="131">
        <f>+R156*D156</f>
        <v>-10890</v>
      </c>
      <c r="V156" s="118">
        <f>IF(P155&gt;30,200+S155,100+S155)</f>
        <v>121</v>
      </c>
    </row>
    <row r="157" spans="1:22" ht="15">
      <c r="A157" s="212" t="s">
        <v>416</v>
      </c>
      <c r="B157" s="213">
        <v>43678</v>
      </c>
      <c r="C157" s="212" t="s">
        <v>417</v>
      </c>
      <c r="D157" s="214">
        <v>217.8</v>
      </c>
      <c r="K157" s="213">
        <v>43678</v>
      </c>
      <c r="M157" s="124">
        <f>+N157</f>
        <v>43682</v>
      </c>
      <c r="N157" s="213">
        <v>43682</v>
      </c>
      <c r="O157" s="97">
        <f>+K157-M157</f>
        <v>-4</v>
      </c>
      <c r="P157" s="97">
        <f>+N157-M157</f>
        <v>0</v>
      </c>
      <c r="Q157" s="97">
        <f>+N157-K157</f>
        <v>4</v>
      </c>
      <c r="R157" s="97">
        <f>+Q157-30</f>
        <v>-26</v>
      </c>
      <c r="S157">
        <v>20</v>
      </c>
      <c r="T157" s="131">
        <f>+P157*D157</f>
        <v>0</v>
      </c>
      <c r="U157" s="131">
        <f>+R157*D157</f>
        <v>-5662.8</v>
      </c>
      <c r="V157" s="118">
        <f>IF(P156&gt;30,200+S156,100+S156)</f>
        <v>120</v>
      </c>
    </row>
    <row r="158" spans="1:22" ht="15">
      <c r="A158" s="212" t="s">
        <v>418</v>
      </c>
      <c r="B158" s="213">
        <v>43710</v>
      </c>
      <c r="C158" s="212" t="s">
        <v>419</v>
      </c>
      <c r="D158" s="214">
        <v>61.41</v>
      </c>
      <c r="K158" s="213">
        <v>43710</v>
      </c>
      <c r="M158" s="124">
        <f>+N158</f>
        <v>43713</v>
      </c>
      <c r="N158" s="213">
        <v>43713</v>
      </c>
      <c r="O158" s="97">
        <f>+K158-M158</f>
        <v>-3</v>
      </c>
      <c r="P158" s="97">
        <f>+N158-M158</f>
        <v>0</v>
      </c>
      <c r="Q158" s="97">
        <f>+N158-K158</f>
        <v>3</v>
      </c>
      <c r="R158" s="97">
        <f>+Q158-30</f>
        <v>-27</v>
      </c>
      <c r="S158">
        <v>20</v>
      </c>
      <c r="T158" s="131">
        <f>+P158*D158</f>
        <v>0</v>
      </c>
      <c r="U158" s="131">
        <f>+R158*D158</f>
        <v>-1658.07</v>
      </c>
      <c r="V158" s="118">
        <f>IF(P157&gt;30,200+S157,100+S157)</f>
        <v>120</v>
      </c>
    </row>
    <row r="159" spans="1:22" ht="15">
      <c r="A159" s="212" t="s">
        <v>420</v>
      </c>
      <c r="B159" s="213">
        <v>43710</v>
      </c>
      <c r="C159" s="212" t="s">
        <v>421</v>
      </c>
      <c r="D159" s="214">
        <v>28.6</v>
      </c>
      <c r="K159" s="213">
        <v>43710</v>
      </c>
      <c r="M159" s="124">
        <f>+N159</f>
        <v>43713</v>
      </c>
      <c r="N159" s="213">
        <v>43713</v>
      </c>
      <c r="O159" s="97">
        <f>+K159-M159</f>
        <v>-3</v>
      </c>
      <c r="P159" s="97">
        <f>+N159-M159</f>
        <v>0</v>
      </c>
      <c r="Q159" s="97">
        <f>+N159-K159</f>
        <v>3</v>
      </c>
      <c r="R159" s="97">
        <f>+Q159-30</f>
        <v>-27</v>
      </c>
      <c r="S159">
        <v>20</v>
      </c>
      <c r="T159" s="131">
        <f>+P159*D159</f>
        <v>0</v>
      </c>
      <c r="U159" s="131">
        <f>+R159*D159</f>
        <v>-772.2</v>
      </c>
      <c r="V159" s="118">
        <f>IF(P158&gt;30,200+S158,100+S158)</f>
        <v>120</v>
      </c>
    </row>
    <row r="160" spans="1:22" ht="15">
      <c r="A160" s="212" t="s">
        <v>422</v>
      </c>
      <c r="B160" s="213">
        <v>43678</v>
      </c>
      <c r="C160" s="212" t="s">
        <v>423</v>
      </c>
      <c r="D160" s="214">
        <v>28.6</v>
      </c>
      <c r="K160" s="213">
        <v>43678</v>
      </c>
      <c r="M160" s="124">
        <f>+N160</f>
        <v>43682</v>
      </c>
      <c r="N160" s="213">
        <v>43682</v>
      </c>
      <c r="O160" s="97">
        <f>+K160-M160</f>
        <v>-4</v>
      </c>
      <c r="P160" s="97">
        <f>+N160-M160</f>
        <v>0</v>
      </c>
      <c r="Q160" s="97">
        <f>+N160-K160</f>
        <v>4</v>
      </c>
      <c r="R160" s="97">
        <f>+Q160-30</f>
        <v>-26</v>
      </c>
      <c r="S160">
        <v>20</v>
      </c>
      <c r="T160" s="131">
        <f>+P160*D160</f>
        <v>0</v>
      </c>
      <c r="U160" s="131">
        <f>+R160*D160</f>
        <v>-743.6</v>
      </c>
      <c r="V160" s="118">
        <f>IF(P159&gt;30,200+S159,100+S159)</f>
        <v>120</v>
      </c>
    </row>
    <row r="161" spans="1:22" ht="15">
      <c r="A161" s="212" t="s">
        <v>454</v>
      </c>
      <c r="B161" s="213">
        <v>43661</v>
      </c>
      <c r="C161" s="212" t="s">
        <v>455</v>
      </c>
      <c r="D161" s="214">
        <v>21</v>
      </c>
      <c r="K161" s="213">
        <v>43661</v>
      </c>
      <c r="M161" s="124">
        <f>+N161</f>
        <v>43663</v>
      </c>
      <c r="N161" s="213">
        <v>43663</v>
      </c>
      <c r="O161" s="97">
        <f>+K161-M161</f>
        <v>-2</v>
      </c>
      <c r="P161" s="97">
        <f>+N161-M161</f>
        <v>0</v>
      </c>
      <c r="Q161" s="97">
        <f>+N161-K161</f>
        <v>2</v>
      </c>
      <c r="R161" s="97">
        <f>+Q161-30</f>
        <v>-28</v>
      </c>
      <c r="S161">
        <v>21</v>
      </c>
      <c r="T161" s="131">
        <f>+P161*D161</f>
        <v>0</v>
      </c>
      <c r="U161" s="131">
        <f>+R161*D161</f>
        <v>-588</v>
      </c>
      <c r="V161" s="118">
        <f>IF(xehet2!P25&gt;30,200+xehet2!S25,100+xehet2!S25)</f>
        <v>129</v>
      </c>
    </row>
    <row r="162" spans="1:22" ht="15">
      <c r="A162" s="212" t="s">
        <v>456</v>
      </c>
      <c r="B162" s="213">
        <v>43661</v>
      </c>
      <c r="C162" s="212" t="s">
        <v>457</v>
      </c>
      <c r="D162" s="214">
        <v>39.4</v>
      </c>
      <c r="K162" s="213">
        <v>43661</v>
      </c>
      <c r="M162" s="124">
        <f>+N162</f>
        <v>43663</v>
      </c>
      <c r="N162" s="213">
        <v>43663</v>
      </c>
      <c r="O162" s="97">
        <f>+K162-M162</f>
        <v>-2</v>
      </c>
      <c r="P162" s="97">
        <f>+N162-M162</f>
        <v>0</v>
      </c>
      <c r="Q162" s="97">
        <f>+N162-K162</f>
        <v>2</v>
      </c>
      <c r="R162" s="97">
        <f>+Q162-30</f>
        <v>-28</v>
      </c>
      <c r="S162">
        <v>21</v>
      </c>
      <c r="T162" s="131">
        <f>+P162*D162</f>
        <v>0</v>
      </c>
      <c r="U162" s="131">
        <f>+R162*D162</f>
        <v>-1103.2</v>
      </c>
      <c r="V162" s="118">
        <f>IF(P161&gt;30,200+S161,100+S161)</f>
        <v>121</v>
      </c>
    </row>
    <row r="163" spans="1:22" ht="15">
      <c r="A163" s="212" t="s">
        <v>458</v>
      </c>
      <c r="B163" s="213">
        <v>43692</v>
      </c>
      <c r="C163" s="212" t="s">
        <v>459</v>
      </c>
      <c r="D163" s="214">
        <v>21</v>
      </c>
      <c r="K163" s="213">
        <v>43692</v>
      </c>
      <c r="M163" s="124">
        <f>+N163</f>
        <v>43696</v>
      </c>
      <c r="N163" s="213">
        <v>43696</v>
      </c>
      <c r="O163" s="97">
        <f>+K163-M163</f>
        <v>-4</v>
      </c>
      <c r="P163" s="97">
        <f>+N163-M163</f>
        <v>0</v>
      </c>
      <c r="Q163" s="97">
        <f>+N163-K163</f>
        <v>4</v>
      </c>
      <c r="R163" s="97">
        <f>+Q163-30</f>
        <v>-26</v>
      </c>
      <c r="S163">
        <v>21</v>
      </c>
      <c r="T163" s="131">
        <f>+P163*D163</f>
        <v>0</v>
      </c>
      <c r="U163" s="131">
        <f>+R163*D163</f>
        <v>-546</v>
      </c>
      <c r="V163" s="118">
        <f>IF(P162&gt;30,200+S162,100+S162)</f>
        <v>121</v>
      </c>
    </row>
    <row r="164" spans="1:22" ht="15">
      <c r="A164" s="212" t="s">
        <v>460</v>
      </c>
      <c r="B164" s="213">
        <v>43692</v>
      </c>
      <c r="C164" s="212" t="s">
        <v>461</v>
      </c>
      <c r="D164" s="214">
        <v>39.4</v>
      </c>
      <c r="K164" s="213">
        <v>43692</v>
      </c>
      <c r="M164" s="124">
        <f>+N164</f>
        <v>43696</v>
      </c>
      <c r="N164" s="213">
        <v>43696</v>
      </c>
      <c r="O164" s="97">
        <f>+K164-M164</f>
        <v>-4</v>
      </c>
      <c r="P164" s="97">
        <f>+N164-M164</f>
        <v>0</v>
      </c>
      <c r="Q164" s="97">
        <f>+N164-K164</f>
        <v>4</v>
      </c>
      <c r="R164" s="97">
        <f>+Q164-30</f>
        <v>-26</v>
      </c>
      <c r="S164">
        <v>21</v>
      </c>
      <c r="T164" s="131">
        <f>+P164*D164</f>
        <v>0</v>
      </c>
      <c r="U164" s="131">
        <f>+R164*D164</f>
        <v>-1024.3999999999999</v>
      </c>
      <c r="V164" s="118">
        <f>IF(P163&gt;30,200+S163,100+S163)</f>
        <v>121</v>
      </c>
    </row>
    <row r="165" spans="1:22" ht="15">
      <c r="A165" s="212" t="s">
        <v>462</v>
      </c>
      <c r="B165" s="213">
        <v>43723</v>
      </c>
      <c r="C165" s="212" t="s">
        <v>463</v>
      </c>
      <c r="D165" s="214">
        <v>39.4</v>
      </c>
      <c r="K165" s="213">
        <v>43723</v>
      </c>
      <c r="M165" s="124">
        <f>+N165</f>
        <v>43725</v>
      </c>
      <c r="N165" s="213">
        <v>43725</v>
      </c>
      <c r="O165" s="97">
        <f>+K165-M165</f>
        <v>-2</v>
      </c>
      <c r="P165" s="97">
        <f>+N165-M165</f>
        <v>0</v>
      </c>
      <c r="Q165" s="97">
        <f>+N165-K165</f>
        <v>2</v>
      </c>
      <c r="R165" s="97">
        <f>+Q165-30</f>
        <v>-28</v>
      </c>
      <c r="S165">
        <v>21</v>
      </c>
      <c r="T165" s="131">
        <f>+P165*D165</f>
        <v>0</v>
      </c>
      <c r="U165" s="131">
        <f>+R165*D165</f>
        <v>-1103.2</v>
      </c>
      <c r="V165" s="118">
        <f>IF(P164&gt;30,200+S164,100+S164)</f>
        <v>121</v>
      </c>
    </row>
    <row r="166" spans="1:22" ht="15">
      <c r="A166" s="212" t="s">
        <v>464</v>
      </c>
      <c r="B166" s="213">
        <v>43723</v>
      </c>
      <c r="C166" s="212" t="s">
        <v>465</v>
      </c>
      <c r="D166" s="214">
        <v>21</v>
      </c>
      <c r="K166" s="213">
        <v>43723</v>
      </c>
      <c r="M166" s="124">
        <f>+N166</f>
        <v>43725</v>
      </c>
      <c r="N166" s="213">
        <v>43725</v>
      </c>
      <c r="O166" s="97">
        <f>+K166-M166</f>
        <v>-2</v>
      </c>
      <c r="P166" s="97">
        <f>+N166-M166</f>
        <v>0</v>
      </c>
      <c r="Q166" s="97">
        <f>+N166-K166</f>
        <v>2</v>
      </c>
      <c r="R166" s="97">
        <f>+Q166-30</f>
        <v>-28</v>
      </c>
      <c r="S166">
        <v>21</v>
      </c>
      <c r="T166" s="131">
        <f>+P166*D166</f>
        <v>0</v>
      </c>
      <c r="U166" s="131">
        <f>+R166*D166</f>
        <v>-588</v>
      </c>
      <c r="V166" s="118">
        <f>IF(P165&gt;30,200+S165,100+S165)</f>
        <v>121</v>
      </c>
    </row>
    <row r="167" spans="1:22" ht="15">
      <c r="A167" s="212" t="s">
        <v>476</v>
      </c>
      <c r="B167" s="213">
        <v>43647</v>
      </c>
      <c r="C167" s="212" t="s">
        <v>477</v>
      </c>
      <c r="D167" s="214">
        <v>16.94</v>
      </c>
      <c r="K167" s="213">
        <v>43647</v>
      </c>
      <c r="M167" s="124">
        <f>+N167</f>
        <v>43648</v>
      </c>
      <c r="N167" s="213">
        <v>43648</v>
      </c>
      <c r="O167" s="97">
        <f>+K167-M167</f>
        <v>-1</v>
      </c>
      <c r="P167" s="97">
        <f>+N167-M167</f>
        <v>0</v>
      </c>
      <c r="Q167" s="97">
        <f>+N167-K167</f>
        <v>1</v>
      </c>
      <c r="R167" s="97">
        <f>+Q167-30</f>
        <v>-29</v>
      </c>
      <c r="S167">
        <v>21</v>
      </c>
      <c r="T167" s="131">
        <f>+P167*D167</f>
        <v>0</v>
      </c>
      <c r="U167" s="131">
        <f>+R167*D167</f>
        <v>-491.26000000000005</v>
      </c>
      <c r="V167" s="118">
        <f>IF(xehet32!P33&gt;30,200+xehet32!S33,100+xehet32!S33)</f>
        <v>129</v>
      </c>
    </row>
    <row r="168" spans="1:22" ht="15">
      <c r="A168" s="212" t="s">
        <v>478</v>
      </c>
      <c r="B168" s="213">
        <v>43677</v>
      </c>
      <c r="C168" s="212" t="s">
        <v>479</v>
      </c>
      <c r="D168" s="214">
        <v>35.09</v>
      </c>
      <c r="K168" s="213">
        <v>43677</v>
      </c>
      <c r="M168" s="124">
        <f>+N168</f>
        <v>43683</v>
      </c>
      <c r="N168" s="213">
        <v>43683</v>
      </c>
      <c r="O168" s="97">
        <f>+K168-M168</f>
        <v>-6</v>
      </c>
      <c r="P168" s="97">
        <f>+N168-M168</f>
        <v>0</v>
      </c>
      <c r="Q168" s="97">
        <f>+N168-K168</f>
        <v>6</v>
      </c>
      <c r="R168" s="97">
        <f>+Q168-30</f>
        <v>-24</v>
      </c>
      <c r="S168">
        <v>21</v>
      </c>
      <c r="T168" s="131">
        <f>+P168*D168</f>
        <v>0</v>
      </c>
      <c r="U168" s="131">
        <f>+R168*D168</f>
        <v>-842.1600000000001</v>
      </c>
      <c r="V168" s="118">
        <f>IF(P167&gt;30,200+S167,100+S167)</f>
        <v>121</v>
      </c>
    </row>
    <row r="169" spans="1:22" ht="15">
      <c r="A169" s="212" t="s">
        <v>480</v>
      </c>
      <c r="B169" s="213">
        <v>43704</v>
      </c>
      <c r="C169" s="212" t="s">
        <v>481</v>
      </c>
      <c r="D169" s="214">
        <v>16.94</v>
      </c>
      <c r="K169" s="213">
        <v>43704</v>
      </c>
      <c r="M169" s="124">
        <f>+N169</f>
        <v>43706</v>
      </c>
      <c r="N169" s="213">
        <v>43706</v>
      </c>
      <c r="O169" s="97">
        <f>+K169-M169</f>
        <v>-2</v>
      </c>
      <c r="P169" s="97">
        <f>+N169-M169</f>
        <v>0</v>
      </c>
      <c r="Q169" s="97">
        <f>+N169-K169</f>
        <v>2</v>
      </c>
      <c r="R169" s="97">
        <f>+Q169-30</f>
        <v>-28</v>
      </c>
      <c r="S169">
        <v>21</v>
      </c>
      <c r="T169" s="131">
        <f>+P169*D169</f>
        <v>0</v>
      </c>
      <c r="U169" s="131">
        <f>+R169*D169</f>
        <v>-474.32000000000005</v>
      </c>
      <c r="V169" s="118">
        <f>IF(P168&gt;30,200+S168,100+S168)</f>
        <v>121</v>
      </c>
    </row>
    <row r="170" spans="1:22" ht="15">
      <c r="A170" s="212" t="s">
        <v>482</v>
      </c>
      <c r="B170" s="213">
        <v>43707</v>
      </c>
      <c r="C170" s="212" t="s">
        <v>483</v>
      </c>
      <c r="D170" s="214">
        <v>26.61</v>
      </c>
      <c r="K170" s="213">
        <v>43707</v>
      </c>
      <c r="M170" s="124">
        <f>+N170</f>
        <v>43711</v>
      </c>
      <c r="N170" s="213">
        <v>43711</v>
      </c>
      <c r="O170" s="97">
        <f>+K170-M170</f>
        <v>-4</v>
      </c>
      <c r="P170" s="97">
        <f>+N170-M170</f>
        <v>0</v>
      </c>
      <c r="Q170" s="97">
        <f>+N170-K170</f>
        <v>4</v>
      </c>
      <c r="R170" s="97">
        <f>+Q170-30</f>
        <v>-26</v>
      </c>
      <c r="S170">
        <v>21</v>
      </c>
      <c r="T170" s="131">
        <f>+P170*D170</f>
        <v>0</v>
      </c>
      <c r="U170" s="131">
        <f>+R170*D170</f>
        <v>-691.86</v>
      </c>
      <c r="V170" s="118">
        <f>IF(P169&gt;30,200+S169,100+S169)</f>
        <v>121</v>
      </c>
    </row>
    <row r="171" spans="1:22" ht="15">
      <c r="A171" s="212" t="s">
        <v>484</v>
      </c>
      <c r="B171" s="213">
        <v>43721</v>
      </c>
      <c r="C171" s="212" t="s">
        <v>485</v>
      </c>
      <c r="D171" s="214">
        <v>899.01</v>
      </c>
      <c r="K171" s="213">
        <v>43707</v>
      </c>
      <c r="M171" s="124">
        <f>+N171</f>
        <v>43721</v>
      </c>
      <c r="N171" s="213">
        <v>43721</v>
      </c>
      <c r="O171" s="97">
        <f>+K171-M171</f>
        <v>-14</v>
      </c>
      <c r="P171" s="97">
        <f>+N171-M171</f>
        <v>0</v>
      </c>
      <c r="Q171" s="97">
        <f>+N171-K171</f>
        <v>14</v>
      </c>
      <c r="R171" s="97">
        <f>+Q171-30</f>
        <v>-16</v>
      </c>
      <c r="S171">
        <v>69</v>
      </c>
      <c r="T171" s="131">
        <f>+P171*D171</f>
        <v>0</v>
      </c>
      <c r="U171" s="131">
        <f>+R171*D171</f>
        <v>-14384.16</v>
      </c>
      <c r="V171" s="118">
        <f>IF(P170&gt;30,200+S170,100+S170)</f>
        <v>121</v>
      </c>
    </row>
    <row r="172" spans="1:22" ht="15">
      <c r="A172" s="212" t="s">
        <v>486</v>
      </c>
      <c r="B172" s="213">
        <v>43651</v>
      </c>
      <c r="C172" s="212" t="s">
        <v>487</v>
      </c>
      <c r="D172" s="214">
        <v>749</v>
      </c>
      <c r="K172" s="213">
        <v>43651</v>
      </c>
      <c r="M172" s="124">
        <f>+N172</f>
        <v>43678</v>
      </c>
      <c r="N172" s="213">
        <v>43678</v>
      </c>
      <c r="O172" s="97">
        <f>+K172-M172</f>
        <v>-27</v>
      </c>
      <c r="P172" s="97">
        <f>+N172-M172</f>
        <v>0</v>
      </c>
      <c r="Q172" s="97">
        <f>+N172-K172</f>
        <v>27</v>
      </c>
      <c r="R172" s="97">
        <f>+Q172-30</f>
        <v>-3</v>
      </c>
      <c r="S172">
        <v>69</v>
      </c>
      <c r="T172" s="131">
        <f>+P172*D172</f>
        <v>0</v>
      </c>
      <c r="U172" s="131">
        <f>+R172*D172</f>
        <v>-2247</v>
      </c>
      <c r="V172" s="118">
        <f>IF(P171&gt;30,200+S171,100+S171)</f>
        <v>169</v>
      </c>
    </row>
    <row r="173" spans="1:22" ht="15">
      <c r="A173" s="212" t="s">
        <v>488</v>
      </c>
      <c r="B173" s="213">
        <v>43669</v>
      </c>
      <c r="C173" s="212" t="s">
        <v>489</v>
      </c>
      <c r="D173" s="214">
        <v>1756.52</v>
      </c>
      <c r="K173" s="213">
        <v>43669</v>
      </c>
      <c r="M173" s="124">
        <f>+N173</f>
        <v>43675</v>
      </c>
      <c r="N173" s="213">
        <v>43675</v>
      </c>
      <c r="O173" s="97">
        <f>+K173-M173</f>
        <v>-6</v>
      </c>
      <c r="P173" s="97">
        <f>+N173-M173</f>
        <v>0</v>
      </c>
      <c r="Q173" s="97">
        <f>+N173-K173</f>
        <v>6</v>
      </c>
      <c r="R173" s="97">
        <f>+Q173-30</f>
        <v>-24</v>
      </c>
      <c r="S173">
        <v>29</v>
      </c>
      <c r="T173" s="131">
        <f>+P173*D173</f>
        <v>0</v>
      </c>
      <c r="U173" s="131">
        <f>+R173*D173</f>
        <v>-42156.479999999996</v>
      </c>
      <c r="V173" s="118">
        <f>IF(P172&gt;30,200+S172,100+S172)</f>
        <v>169</v>
      </c>
    </row>
    <row r="174" spans="1:22" s="117" customFormat="1" ht="15">
      <c r="A174" s="215" t="s">
        <v>490</v>
      </c>
      <c r="B174" s="216">
        <v>43698</v>
      </c>
      <c r="C174" s="215" t="s">
        <v>491</v>
      </c>
      <c r="D174" s="217">
        <v>299</v>
      </c>
      <c r="K174" s="216">
        <v>43698</v>
      </c>
      <c r="L174" s="98"/>
      <c r="M174" s="130">
        <f>+N174</f>
        <v>43696</v>
      </c>
      <c r="N174" s="216">
        <v>43696</v>
      </c>
      <c r="O174" s="97">
        <f>+K174-M174</f>
        <v>2</v>
      </c>
      <c r="P174" s="97">
        <f>+N174-M174</f>
        <v>0</v>
      </c>
      <c r="Q174" s="97">
        <f>+N174-K174</f>
        <v>-2</v>
      </c>
      <c r="R174" s="97">
        <f>+Q174-30</f>
        <v>-32</v>
      </c>
      <c r="S174" s="218">
        <v>21</v>
      </c>
      <c r="T174" s="131">
        <f>+P174*D174</f>
        <v>0</v>
      </c>
      <c r="U174" s="131">
        <f>+R174*D174</f>
        <v>-9568</v>
      </c>
      <c r="V174" s="118">
        <f>IF(P173&gt;30,200+S173,100+S173)</f>
        <v>129</v>
      </c>
    </row>
    <row r="175" spans="1:22" ht="15">
      <c r="A175" s="212" t="s">
        <v>492</v>
      </c>
      <c r="B175" s="213">
        <v>43700</v>
      </c>
      <c r="C175" s="212" t="s">
        <v>493</v>
      </c>
      <c r="D175" s="214">
        <v>1758.23</v>
      </c>
      <c r="K175" s="213">
        <v>43700</v>
      </c>
      <c r="M175" s="124">
        <f>+N175</f>
        <v>43706</v>
      </c>
      <c r="N175" s="213">
        <v>43706</v>
      </c>
      <c r="O175" s="97">
        <f>+K175-M175</f>
        <v>-6</v>
      </c>
      <c r="P175" s="97">
        <f>+N175-M175</f>
        <v>0</v>
      </c>
      <c r="Q175" s="97">
        <f>+N175-K175</f>
        <v>6</v>
      </c>
      <c r="R175" s="97">
        <f>+Q175-30</f>
        <v>-24</v>
      </c>
      <c r="S175">
        <v>29</v>
      </c>
      <c r="T175" s="131">
        <f>+P175*D175</f>
        <v>0</v>
      </c>
      <c r="U175" s="131">
        <f>+R175*D175</f>
        <v>-42197.520000000004</v>
      </c>
      <c r="V175" s="118">
        <f>IF(P174&gt;30,200+S174,100+S174)</f>
        <v>121</v>
      </c>
    </row>
    <row r="176" spans="1:22" ht="15">
      <c r="A176" s="212" t="s">
        <v>494</v>
      </c>
      <c r="B176" s="213">
        <v>43731</v>
      </c>
      <c r="C176" s="212" t="s">
        <v>495</v>
      </c>
      <c r="D176" s="214">
        <v>1857.87</v>
      </c>
      <c r="K176" s="213">
        <v>43731</v>
      </c>
      <c r="M176" s="124">
        <f>+N176</f>
        <v>43735</v>
      </c>
      <c r="N176" s="213">
        <v>43735</v>
      </c>
      <c r="O176" s="97">
        <f>+K176-M176</f>
        <v>-4</v>
      </c>
      <c r="P176" s="97">
        <f>+N176-M176</f>
        <v>0</v>
      </c>
      <c r="Q176" s="97">
        <f>+N176-K176</f>
        <v>4</v>
      </c>
      <c r="R176" s="97">
        <f>+Q176-30</f>
        <v>-26</v>
      </c>
      <c r="S176">
        <v>29</v>
      </c>
      <c r="T176" s="131">
        <f>+P176*D176</f>
        <v>0</v>
      </c>
      <c r="U176" s="131">
        <f>+R176*D176</f>
        <v>-48304.619999999995</v>
      </c>
      <c r="V176" s="118">
        <f>IF(P175&gt;30,200+S175,100+S175)</f>
        <v>129</v>
      </c>
    </row>
    <row r="177" spans="1:22" ht="15">
      <c r="A177" s="212" t="s">
        <v>496</v>
      </c>
      <c r="B177" s="213">
        <v>43707</v>
      </c>
      <c r="C177" s="212" t="s">
        <v>497</v>
      </c>
      <c r="D177" s="214">
        <v>1036.34</v>
      </c>
      <c r="K177" s="213">
        <v>43707</v>
      </c>
      <c r="M177" s="124">
        <f>+N177</f>
        <v>43711</v>
      </c>
      <c r="N177" s="213">
        <v>43711</v>
      </c>
      <c r="O177" s="97">
        <f>+K177-M177</f>
        <v>-4</v>
      </c>
      <c r="P177" s="97">
        <f>+N177-M177</f>
        <v>0</v>
      </c>
      <c r="Q177" s="97">
        <f>+N177-K177</f>
        <v>4</v>
      </c>
      <c r="R177" s="97">
        <f>+Q177-30</f>
        <v>-26</v>
      </c>
      <c r="S177">
        <v>20</v>
      </c>
      <c r="T177" s="131">
        <f>+P177*D177</f>
        <v>0</v>
      </c>
      <c r="U177" s="131">
        <f>+R177*D177</f>
        <v>-26944.839999999997</v>
      </c>
      <c r="V177" s="118">
        <f>IF(P176&gt;30,200+S176,100+S176)</f>
        <v>129</v>
      </c>
    </row>
    <row r="178" spans="1:22" ht="15">
      <c r="A178" s="212" t="s">
        <v>504</v>
      </c>
      <c r="B178" s="213">
        <v>43708</v>
      </c>
      <c r="C178" s="212" t="s">
        <v>505</v>
      </c>
      <c r="D178" s="214">
        <v>1108.17</v>
      </c>
      <c r="K178" s="213">
        <v>43708</v>
      </c>
      <c r="M178" s="124">
        <f>+N178</f>
        <v>43711</v>
      </c>
      <c r="N178" s="213">
        <v>43711</v>
      </c>
      <c r="O178" s="97">
        <f>+K178-M178</f>
        <v>-3</v>
      </c>
      <c r="P178" s="97">
        <f>+N178-M178</f>
        <v>0</v>
      </c>
      <c r="Q178" s="97">
        <f>+N178-K178</f>
        <v>3</v>
      </c>
      <c r="R178" s="97">
        <f>+Q178-30</f>
        <v>-27</v>
      </c>
      <c r="S178">
        <v>29</v>
      </c>
      <c r="T178" s="131">
        <f>+P178*D178</f>
        <v>0</v>
      </c>
      <c r="U178" s="131">
        <f>+R178*D178</f>
        <v>-29920.590000000004</v>
      </c>
      <c r="V178" s="118">
        <f>IF(xehet2!P29&gt;30,200+xehet2!S29,100+xehet2!S29)</f>
        <v>129</v>
      </c>
    </row>
    <row r="179" spans="1:22" ht="15">
      <c r="A179" s="212" t="s">
        <v>512</v>
      </c>
      <c r="B179" s="213">
        <v>43706</v>
      </c>
      <c r="C179" s="212" t="s">
        <v>513</v>
      </c>
      <c r="D179" s="214">
        <v>36.97</v>
      </c>
      <c r="K179" s="213">
        <v>43706</v>
      </c>
      <c r="M179" s="124">
        <f>+N179</f>
        <v>43727</v>
      </c>
      <c r="N179" s="213">
        <v>43727</v>
      </c>
      <c r="O179" s="97">
        <f>+K179-M179</f>
        <v>-21</v>
      </c>
      <c r="P179" s="97">
        <f>+N179-M179</f>
        <v>0</v>
      </c>
      <c r="Q179" s="97">
        <f>+N179-K179</f>
        <v>21</v>
      </c>
      <c r="R179" s="97">
        <f>+Q179-30</f>
        <v>-9</v>
      </c>
      <c r="S179">
        <v>29</v>
      </c>
      <c r="T179" s="131">
        <f>+P179*D179</f>
        <v>0</v>
      </c>
      <c r="U179" s="131">
        <f>+R179*D179</f>
        <v>-332.73</v>
      </c>
      <c r="V179" s="118">
        <f>IF(xehet2!P30&gt;30,200+xehet2!S30,100+xehet2!S30)</f>
        <v>129</v>
      </c>
    </row>
    <row r="180" spans="1:22" ht="15">
      <c r="A180" s="212" t="s">
        <v>514</v>
      </c>
      <c r="B180" s="213">
        <v>43706</v>
      </c>
      <c r="C180" s="212" t="s">
        <v>515</v>
      </c>
      <c r="D180" s="214">
        <v>28.7</v>
      </c>
      <c r="K180" s="213">
        <v>43706</v>
      </c>
      <c r="M180" s="124">
        <f>+N180</f>
        <v>43727</v>
      </c>
      <c r="N180" s="213">
        <v>43727</v>
      </c>
      <c r="O180" s="97">
        <f>+K180-M180</f>
        <v>-21</v>
      </c>
      <c r="P180" s="97">
        <f>+N180-M180</f>
        <v>0</v>
      </c>
      <c r="Q180" s="97">
        <f>+N180-K180</f>
        <v>21</v>
      </c>
      <c r="R180" s="97">
        <f>+Q180-30</f>
        <v>-9</v>
      </c>
      <c r="S180">
        <v>29</v>
      </c>
      <c r="T180" s="131">
        <f>+P180*D180</f>
        <v>0</v>
      </c>
      <c r="U180" s="131">
        <f>+R180*D180</f>
        <v>-258.3</v>
      </c>
      <c r="V180" s="118">
        <f>IF(P179&gt;30,200+S179,100+S179)</f>
        <v>129</v>
      </c>
    </row>
    <row r="181" spans="1:22" ht="15">
      <c r="A181" s="212" t="s">
        <v>518</v>
      </c>
      <c r="B181" s="213">
        <v>43706</v>
      </c>
      <c r="C181" s="212" t="s">
        <v>519</v>
      </c>
      <c r="D181" s="214">
        <v>38.02</v>
      </c>
      <c r="K181" s="213">
        <v>43706</v>
      </c>
      <c r="M181" s="124">
        <f>+N181</f>
        <v>43727</v>
      </c>
      <c r="N181" s="213">
        <v>43727</v>
      </c>
      <c r="O181" s="97">
        <f>+K181-M181</f>
        <v>-21</v>
      </c>
      <c r="P181" s="97">
        <f>+N181-M181</f>
        <v>0</v>
      </c>
      <c r="Q181" s="97">
        <f>+N181-K181</f>
        <v>21</v>
      </c>
      <c r="R181" s="97">
        <f>+Q181-30</f>
        <v>-9</v>
      </c>
      <c r="S181">
        <v>29</v>
      </c>
      <c r="T181" s="131">
        <f>+P181*D181</f>
        <v>0</v>
      </c>
      <c r="U181" s="131">
        <f>+R181*D181</f>
        <v>-342.18</v>
      </c>
      <c r="V181" s="118">
        <f>IF(xehet2!P31&gt;30,200+xehet2!S31,100+xehet2!S31)</f>
        <v>129</v>
      </c>
    </row>
    <row r="182" spans="1:22" ht="15">
      <c r="A182" s="212" t="s">
        <v>522</v>
      </c>
      <c r="B182" s="213">
        <v>43706</v>
      </c>
      <c r="C182" s="212" t="s">
        <v>523</v>
      </c>
      <c r="D182" s="214">
        <v>20.38</v>
      </c>
      <c r="K182" s="213">
        <v>43706</v>
      </c>
      <c r="M182" s="124">
        <f>+N182</f>
        <v>43727</v>
      </c>
      <c r="N182" s="213">
        <v>43727</v>
      </c>
      <c r="O182" s="97">
        <f>+K182-M182</f>
        <v>-21</v>
      </c>
      <c r="P182" s="97">
        <f>+N182-M182</f>
        <v>0</v>
      </c>
      <c r="Q182" s="97">
        <f>+N182-K182</f>
        <v>21</v>
      </c>
      <c r="R182" s="97">
        <f>+Q182-30</f>
        <v>-9</v>
      </c>
      <c r="S182">
        <v>29</v>
      </c>
      <c r="T182" s="131">
        <f>+P182*D182</f>
        <v>0</v>
      </c>
      <c r="U182" s="131">
        <f>+R182*D182</f>
        <v>-183.42</v>
      </c>
      <c r="V182" s="118">
        <f>IF(xehet2!P32&gt;30,200+xehet2!S32,100+xehet2!S32)</f>
        <v>129</v>
      </c>
    </row>
    <row r="183" spans="1:22" ht="15">
      <c r="A183" s="212" t="s">
        <v>526</v>
      </c>
      <c r="B183" s="213">
        <v>43706</v>
      </c>
      <c r="C183" s="212" t="s">
        <v>527</v>
      </c>
      <c r="D183" s="214">
        <v>18.48</v>
      </c>
      <c r="K183" s="213">
        <v>43706</v>
      </c>
      <c r="M183" s="124">
        <f>+N183</f>
        <v>43727</v>
      </c>
      <c r="N183" s="213">
        <v>43727</v>
      </c>
      <c r="O183" s="97">
        <f>+K183-M183</f>
        <v>-21</v>
      </c>
      <c r="P183" s="97">
        <f>+N183-M183</f>
        <v>0</v>
      </c>
      <c r="Q183" s="97">
        <f>+N183-K183</f>
        <v>21</v>
      </c>
      <c r="R183" s="97">
        <f>+Q183-30</f>
        <v>-9</v>
      </c>
      <c r="S183">
        <v>29</v>
      </c>
      <c r="T183" s="131">
        <f>+P183*D183</f>
        <v>0</v>
      </c>
      <c r="U183" s="131">
        <f>+R183*D183</f>
        <v>-166.32</v>
      </c>
      <c r="V183" s="118">
        <f>IF(xehet2!P33&gt;30,200+xehet2!S33,100+xehet2!S33)</f>
        <v>129</v>
      </c>
    </row>
    <row r="184" spans="1:22" s="117" customFormat="1" ht="15">
      <c r="A184" s="215" t="s">
        <v>538</v>
      </c>
      <c r="B184" s="216">
        <v>43733</v>
      </c>
      <c r="C184" s="215" t="s">
        <v>539</v>
      </c>
      <c r="D184" s="217">
        <v>288</v>
      </c>
      <c r="K184" s="216">
        <v>43733</v>
      </c>
      <c r="L184" s="98"/>
      <c r="M184" s="130">
        <f>+N184</f>
        <v>43721</v>
      </c>
      <c r="N184" s="216">
        <v>43721</v>
      </c>
      <c r="O184" s="97">
        <f>+K184-M184</f>
        <v>12</v>
      </c>
      <c r="P184" s="97">
        <f>+N184-M184</f>
        <v>0</v>
      </c>
      <c r="Q184" s="97">
        <f>+N184-K184</f>
        <v>-12</v>
      </c>
      <c r="R184" s="97">
        <f>+Q184-30</f>
        <v>-42</v>
      </c>
      <c r="S184" s="218">
        <v>29</v>
      </c>
      <c r="T184" s="131">
        <f>+P184*D184</f>
        <v>0</v>
      </c>
      <c r="U184" s="131">
        <f>+R184*D184</f>
        <v>-12096</v>
      </c>
      <c r="V184" s="118">
        <f>IF(xehet32!P12&gt;30,200+xehet32!S12,100+xehet32!S12)</f>
        <v>100</v>
      </c>
    </row>
    <row r="185" spans="1:22" s="117" customFormat="1" ht="15">
      <c r="A185" s="215" t="s">
        <v>546</v>
      </c>
      <c r="B185" s="216">
        <v>43738</v>
      </c>
      <c r="C185" s="215" t="s">
        <v>547</v>
      </c>
      <c r="D185" s="217">
        <v>300.81</v>
      </c>
      <c r="K185" s="216">
        <v>43738</v>
      </c>
      <c r="L185" s="98"/>
      <c r="M185" s="130"/>
      <c r="N185" s="216"/>
      <c r="O185" s="97"/>
      <c r="P185" s="97">
        <f>+N185-M185</f>
        <v>0</v>
      </c>
      <c r="Q185" s="97"/>
      <c r="R185" s="97"/>
      <c r="S185" s="218">
        <v>29</v>
      </c>
      <c r="T185" s="131"/>
      <c r="U185" s="131">
        <f>+R185*D185</f>
        <v>0</v>
      </c>
      <c r="V185" s="118"/>
    </row>
    <row r="186" spans="1:22" s="117" customFormat="1" ht="15">
      <c r="A186" s="215" t="s">
        <v>554</v>
      </c>
      <c r="B186" s="216">
        <v>43723</v>
      </c>
      <c r="C186" s="215" t="s">
        <v>555</v>
      </c>
      <c r="D186" s="217">
        <v>121.08</v>
      </c>
      <c r="K186" s="216">
        <v>43723</v>
      </c>
      <c r="L186" s="98"/>
      <c r="M186" s="130">
        <f>+N186</f>
        <v>43725</v>
      </c>
      <c r="N186" s="216">
        <v>43725</v>
      </c>
      <c r="O186" s="97">
        <f>+K186-M186</f>
        <v>-2</v>
      </c>
      <c r="P186" s="97">
        <f>+N186-M186</f>
        <v>0</v>
      </c>
      <c r="Q186" s="97">
        <f>+N186-K186</f>
        <v>2</v>
      </c>
      <c r="R186" s="97">
        <f>+Q186-30</f>
        <v>-28</v>
      </c>
      <c r="S186" s="218">
        <v>29</v>
      </c>
      <c r="T186" s="131">
        <f>+P186*D186</f>
        <v>0</v>
      </c>
      <c r="U186" s="131">
        <f>+R186*D186</f>
        <v>-3390.24</v>
      </c>
      <c r="V186" s="118">
        <f>IF(xehet32!P17&gt;30,200+xehet32!S17,100+xehet32!S17)</f>
        <v>100</v>
      </c>
    </row>
    <row r="187" spans="1:22" ht="15">
      <c r="A187" s="212" t="s">
        <v>562</v>
      </c>
      <c r="B187" s="213">
        <v>43706</v>
      </c>
      <c r="C187" s="212" t="s">
        <v>563</v>
      </c>
      <c r="D187" s="214">
        <v>532.79</v>
      </c>
      <c r="K187" s="213">
        <v>43706</v>
      </c>
      <c r="M187" s="124">
        <f>+N187</f>
        <v>43727</v>
      </c>
      <c r="N187" s="213">
        <v>43727</v>
      </c>
      <c r="O187" s="97">
        <f>+K187-M187</f>
        <v>-21</v>
      </c>
      <c r="P187" s="97">
        <f>+N187-M187</f>
        <v>0</v>
      </c>
      <c r="Q187" s="97">
        <f>+N187-K187</f>
        <v>21</v>
      </c>
      <c r="R187" s="97">
        <f>+Q187-30</f>
        <v>-9</v>
      </c>
      <c r="S187">
        <v>29</v>
      </c>
      <c r="T187" s="131">
        <f>+P187*D187</f>
        <v>0</v>
      </c>
      <c r="U187" s="131">
        <f>+R187*D187</f>
        <v>-4795.11</v>
      </c>
      <c r="V187" s="118">
        <f>IF(xehet32!P5&gt;30,200+xehet32!S5,100+xehet32!S5)</f>
        <v>100</v>
      </c>
    </row>
    <row r="188" spans="1:22" ht="15">
      <c r="A188" s="212" t="s">
        <v>564</v>
      </c>
      <c r="B188" s="213">
        <v>43706</v>
      </c>
      <c r="C188" s="212" t="s">
        <v>565</v>
      </c>
      <c r="D188" s="214">
        <v>19.64</v>
      </c>
      <c r="K188" s="213">
        <v>43706</v>
      </c>
      <c r="M188" s="124">
        <f>+N188</f>
        <v>43727</v>
      </c>
      <c r="N188" s="213">
        <v>43727</v>
      </c>
      <c r="O188" s="97">
        <f>+K188-M188</f>
        <v>-21</v>
      </c>
      <c r="P188" s="97">
        <f>+N188-M188</f>
        <v>0</v>
      </c>
      <c r="Q188" s="97">
        <f>+N188-K188</f>
        <v>21</v>
      </c>
      <c r="R188" s="97">
        <f>+Q188-30</f>
        <v>-9</v>
      </c>
      <c r="S188">
        <v>29</v>
      </c>
      <c r="T188" s="131">
        <f>+P188*D188</f>
        <v>0</v>
      </c>
      <c r="U188" s="131">
        <f>+R188*D188</f>
        <v>-176.76</v>
      </c>
      <c r="V188" s="118">
        <f>IF(P187&gt;30,200+S187,100+S187)</f>
        <v>129</v>
      </c>
    </row>
    <row r="189" spans="1:22" ht="15">
      <c r="A189" s="212" t="s">
        <v>566</v>
      </c>
      <c r="B189" s="213">
        <v>43676</v>
      </c>
      <c r="C189" s="212" t="s">
        <v>567</v>
      </c>
      <c r="D189" s="214">
        <v>15.69</v>
      </c>
      <c r="K189" s="213">
        <v>43676</v>
      </c>
      <c r="M189" s="124">
        <f>+N189</f>
        <v>43696</v>
      </c>
      <c r="N189" s="213">
        <v>43696</v>
      </c>
      <c r="O189" s="97">
        <f>+K189-M189</f>
        <v>-20</v>
      </c>
      <c r="P189" s="97">
        <f>+N189-M189</f>
        <v>0</v>
      </c>
      <c r="Q189" s="97">
        <f>+N189-K189</f>
        <v>20</v>
      </c>
      <c r="R189" s="97">
        <f>+Q189-30</f>
        <v>-10</v>
      </c>
      <c r="S189">
        <v>29</v>
      </c>
      <c r="T189" s="131">
        <f>+P189*D189</f>
        <v>0</v>
      </c>
      <c r="U189" s="131">
        <f>+R189*D189</f>
        <v>-156.9</v>
      </c>
      <c r="V189" s="118">
        <f>IF(P188&gt;30,200+S188,100+S188)</f>
        <v>129</v>
      </c>
    </row>
    <row r="190" spans="1:22" s="117" customFormat="1" ht="15">
      <c r="A190" s="215" t="s">
        <v>580</v>
      </c>
      <c r="B190" s="216">
        <v>43718</v>
      </c>
      <c r="C190" s="215" t="s">
        <v>581</v>
      </c>
      <c r="D190" s="217">
        <v>4.87</v>
      </c>
      <c r="K190" s="216">
        <v>43718</v>
      </c>
      <c r="L190" s="98"/>
      <c r="M190" s="130">
        <f>+N190</f>
        <v>43725</v>
      </c>
      <c r="N190" s="216">
        <v>43725</v>
      </c>
      <c r="O190" s="97">
        <f>+K190-M190</f>
        <v>-7</v>
      </c>
      <c r="P190" s="97">
        <f>+N190-M190</f>
        <v>0</v>
      </c>
      <c r="Q190" s="97">
        <f>+N190-K190</f>
        <v>7</v>
      </c>
      <c r="R190" s="97">
        <f>+Q190-30</f>
        <v>-23</v>
      </c>
      <c r="S190" s="218">
        <v>22</v>
      </c>
      <c r="T190" s="131">
        <f>+P190*D190</f>
        <v>0</v>
      </c>
      <c r="U190" s="131">
        <f>+R190*D190</f>
        <v>-112.01</v>
      </c>
      <c r="V190" s="118">
        <f>IF(xehet32!P11&gt;30,200+xehet32!S11,100+xehet32!S11)</f>
        <v>100</v>
      </c>
    </row>
    <row r="191" spans="1:22" s="117" customFormat="1" ht="15">
      <c r="A191" s="215" t="s">
        <v>582</v>
      </c>
      <c r="B191" s="216">
        <v>43718</v>
      </c>
      <c r="C191" s="215" t="s">
        <v>583</v>
      </c>
      <c r="D191" s="217">
        <v>4.76</v>
      </c>
      <c r="K191" s="216">
        <v>43718</v>
      </c>
      <c r="L191" s="98"/>
      <c r="M191" s="130">
        <f>+N191</f>
        <v>43725</v>
      </c>
      <c r="N191" s="216">
        <v>43725</v>
      </c>
      <c r="O191" s="97">
        <f>+K191-M191</f>
        <v>-7</v>
      </c>
      <c r="P191" s="97">
        <f>+N191-M191</f>
        <v>0</v>
      </c>
      <c r="Q191" s="97">
        <f>+N191-K191</f>
        <v>7</v>
      </c>
      <c r="R191" s="97">
        <f>+Q191-30</f>
        <v>-23</v>
      </c>
      <c r="S191" s="218">
        <v>22</v>
      </c>
      <c r="T191" s="131">
        <f>+P191*D191</f>
        <v>0</v>
      </c>
      <c r="U191" s="131">
        <f>+R191*D191</f>
        <v>-109.47999999999999</v>
      </c>
      <c r="V191" s="118">
        <f>IF(P190&gt;30,200+S190,100+S190)</f>
        <v>122</v>
      </c>
    </row>
    <row r="192" spans="1:22" s="117" customFormat="1" ht="15">
      <c r="A192" s="215" t="s">
        <v>584</v>
      </c>
      <c r="B192" s="216">
        <v>43712</v>
      </c>
      <c r="C192" s="215" t="s">
        <v>585</v>
      </c>
      <c r="D192" s="217">
        <v>8.18</v>
      </c>
      <c r="K192" s="216">
        <v>43712</v>
      </c>
      <c r="L192" s="98"/>
      <c r="M192" s="130">
        <f>+N192</f>
        <v>43725</v>
      </c>
      <c r="N192" s="216">
        <v>43725</v>
      </c>
      <c r="O192" s="97">
        <f>+K192-M192</f>
        <v>-13</v>
      </c>
      <c r="P192" s="97">
        <f>+N192-M192</f>
        <v>0</v>
      </c>
      <c r="Q192" s="97">
        <f>+N192-K192</f>
        <v>13</v>
      </c>
      <c r="R192" s="97">
        <f>+Q192-30</f>
        <v>-17</v>
      </c>
      <c r="S192" s="218">
        <v>22</v>
      </c>
      <c r="T192" s="131">
        <f>+P192*D192</f>
        <v>0</v>
      </c>
      <c r="U192" s="131">
        <f>+R192*D192</f>
        <v>-139.06</v>
      </c>
      <c r="V192" s="118">
        <f>IF(P191&gt;30,200+S191,100+S191)</f>
        <v>122</v>
      </c>
    </row>
    <row r="198" spans="1:11" ht="15">
      <c r="A198" s="132"/>
      <c r="B198" s="133"/>
      <c r="C198" s="134"/>
      <c r="D198" s="135"/>
      <c r="K198" s="136"/>
    </row>
    <row r="199" spans="1:11" ht="15">
      <c r="A199" s="132"/>
      <c r="B199" s="133"/>
      <c r="C199" s="134"/>
      <c r="D199" s="135"/>
      <c r="K199" s="136"/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38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A9" sqref="A9:IV38"/>
    </sheetView>
  </sheetViews>
  <sheetFormatPr defaultColWidth="9.140625" defaultRowHeight="12.75"/>
  <cols>
    <col min="1" max="1" width="12.140625" style="2" customWidth="1"/>
    <col min="2" max="2" width="10.7109375" style="15" bestFit="1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3.57421875" style="2" customWidth="1"/>
    <col min="11" max="11" width="15.421875" style="15" bestFit="1" customWidth="1"/>
    <col min="12" max="12" width="9.28125" style="15" bestFit="1" customWidth="1"/>
    <col min="13" max="13" width="19.57421875" style="15" customWidth="1"/>
    <col min="14" max="14" width="12.421875" style="15" customWidth="1"/>
    <col min="15" max="16" width="9.28125" style="10" bestFit="1" customWidth="1"/>
    <col min="17" max="17" width="10.00390625" style="10" bestFit="1" customWidth="1"/>
    <col min="18" max="18" width="8.7109375" style="10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7"/>
      <c r="C1" s="4"/>
      <c r="D1" s="7"/>
      <c r="E1" s="4"/>
      <c r="F1" s="4"/>
      <c r="G1" s="4"/>
      <c r="H1" s="4"/>
      <c r="I1" s="4"/>
      <c r="J1" s="4"/>
      <c r="O1" s="97"/>
      <c r="P1" s="97"/>
      <c r="Q1" s="98"/>
    </row>
    <row r="2" spans="1:17" ht="11.25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101</v>
      </c>
      <c r="O2" s="97"/>
      <c r="P2" s="97" t="s">
        <v>109</v>
      </c>
      <c r="Q2" s="120">
        <v>43738</v>
      </c>
    </row>
    <row r="3" spans="1:13" ht="11.25">
      <c r="A3" s="3"/>
      <c r="B3" s="17"/>
      <c r="C3" s="4"/>
      <c r="D3" s="7"/>
      <c r="E3" s="4"/>
      <c r="F3" s="4"/>
      <c r="G3" s="4"/>
      <c r="H3" s="4"/>
      <c r="I3" s="4"/>
      <c r="J3" s="4"/>
      <c r="K3" s="15" t="s">
        <v>103</v>
      </c>
      <c r="M3" s="15" t="s">
        <v>99</v>
      </c>
    </row>
    <row r="4" spans="1:13" ht="11.25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104</v>
      </c>
    </row>
    <row r="5" spans="1:13" ht="11.25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105</v>
      </c>
    </row>
    <row r="6" spans="1:13" ht="11.25">
      <c r="A6" s="3"/>
      <c r="B6" s="17"/>
      <c r="C6" s="4"/>
      <c r="D6" s="7"/>
      <c r="E6" s="4"/>
      <c r="F6" s="4"/>
      <c r="G6" s="4"/>
      <c r="H6" s="4"/>
      <c r="I6" s="4"/>
      <c r="J6" s="4"/>
      <c r="M6" s="15" t="s">
        <v>106</v>
      </c>
    </row>
    <row r="8" spans="1:22" ht="38.25" customHeight="1">
      <c r="A8" s="5" t="s">
        <v>75</v>
      </c>
      <c r="B8" s="18" t="s">
        <v>70</v>
      </c>
      <c r="C8" s="6" t="s">
        <v>85</v>
      </c>
      <c r="D8" s="9" t="s">
        <v>44</v>
      </c>
      <c r="E8" s="5" t="s">
        <v>84</v>
      </c>
      <c r="F8" s="6" t="s">
        <v>71</v>
      </c>
      <c r="G8" s="6" t="s">
        <v>72</v>
      </c>
      <c r="H8" s="6" t="s">
        <v>82</v>
      </c>
      <c r="I8" s="6" t="s">
        <v>83</v>
      </c>
      <c r="J8" s="6" t="s">
        <v>73</v>
      </c>
      <c r="K8" s="16" t="s">
        <v>74</v>
      </c>
      <c r="L8" s="16" t="s">
        <v>76</v>
      </c>
      <c r="M8" s="16" t="s">
        <v>91</v>
      </c>
      <c r="N8" s="16" t="s">
        <v>92</v>
      </c>
      <c r="O8" s="11" t="s">
        <v>77</v>
      </c>
      <c r="P8" s="12" t="s">
        <v>86</v>
      </c>
      <c r="Q8" s="13" t="s">
        <v>87</v>
      </c>
      <c r="R8" s="14" t="s">
        <v>50</v>
      </c>
      <c r="S8" s="2" t="s">
        <v>93</v>
      </c>
      <c r="T8" s="8" t="s">
        <v>94</v>
      </c>
      <c r="U8" s="8" t="s">
        <v>95</v>
      </c>
      <c r="V8" s="2" t="s">
        <v>96</v>
      </c>
    </row>
    <row r="9" spans="1:22" ht="15">
      <c r="A9" s="125" t="s">
        <v>110</v>
      </c>
      <c r="B9" s="126">
        <v>43626</v>
      </c>
      <c r="C9" s="127" t="s">
        <v>111</v>
      </c>
      <c r="D9" s="128">
        <v>771.96</v>
      </c>
      <c r="F9" s="121"/>
      <c r="K9" s="129">
        <v>43637</v>
      </c>
      <c r="M9" s="124">
        <f>+N9</f>
        <v>43661</v>
      </c>
      <c r="N9" s="130">
        <v>43661</v>
      </c>
      <c r="O9" s="97">
        <f>+N9-M9</f>
        <v>0</v>
      </c>
      <c r="P9" s="97">
        <f>+M9-$Q$2</f>
        <v>-77</v>
      </c>
      <c r="Q9" s="97">
        <f>+N9-$Q$2</f>
        <v>-77</v>
      </c>
      <c r="R9" s="97">
        <f>+Q9-30</f>
        <v>-107</v>
      </c>
      <c r="S9" s="2">
        <v>29</v>
      </c>
      <c r="T9" s="131"/>
      <c r="U9" s="131"/>
      <c r="V9" s="118"/>
    </row>
    <row r="10" spans="1:22" ht="15">
      <c r="A10" s="212" t="s">
        <v>390</v>
      </c>
      <c r="B10" s="213">
        <v>43724</v>
      </c>
      <c r="C10" s="212" t="s">
        <v>391</v>
      </c>
      <c r="D10" s="214">
        <v>599.45</v>
      </c>
      <c r="K10" s="213">
        <v>43732</v>
      </c>
      <c r="M10" s="124">
        <f>+N10</f>
        <v>43754</v>
      </c>
      <c r="N10" s="213">
        <v>43754</v>
      </c>
      <c r="O10" s="97">
        <f>+K10-M10</f>
        <v>-22</v>
      </c>
      <c r="P10" s="97">
        <f>+N10-M10</f>
        <v>0</v>
      </c>
      <c r="Q10" s="97">
        <f>+N10-K10</f>
        <v>22</v>
      </c>
      <c r="R10" s="97">
        <f>+Q10-30</f>
        <v>-8</v>
      </c>
      <c r="S10">
        <v>21</v>
      </c>
      <c r="T10" s="131">
        <f>+P10*D10</f>
        <v>0</v>
      </c>
      <c r="U10" s="131">
        <f>+R10*D10</f>
        <v>-4795.6</v>
      </c>
      <c r="V10" s="118">
        <f>IF(xehet1!P144&gt;30,200+xehet1!S144,100+xehet1!S144)</f>
        <v>129</v>
      </c>
    </row>
    <row r="11" spans="1:22" ht="15">
      <c r="A11" s="212" t="s">
        <v>424</v>
      </c>
      <c r="B11" s="213">
        <v>43719</v>
      </c>
      <c r="C11" s="212" t="s">
        <v>425</v>
      </c>
      <c r="D11" s="214">
        <v>46.73</v>
      </c>
      <c r="K11" s="213">
        <v>43733</v>
      </c>
      <c r="M11" s="124">
        <f>+N11</f>
        <v>43739</v>
      </c>
      <c r="N11" s="213">
        <v>43739</v>
      </c>
      <c r="O11" s="97">
        <f>+K11-M11</f>
        <v>-6</v>
      </c>
      <c r="P11" s="97">
        <f>+N11-M11</f>
        <v>0</v>
      </c>
      <c r="Q11" s="97">
        <f>+N11-K11</f>
        <v>6</v>
      </c>
      <c r="R11" s="97">
        <f>+Q11-30</f>
        <v>-24</v>
      </c>
      <c r="S11">
        <v>29</v>
      </c>
      <c r="T11" s="131">
        <f>+P11*D11</f>
        <v>0</v>
      </c>
      <c r="U11" s="131">
        <f>+R11*D11</f>
        <v>-1121.52</v>
      </c>
      <c r="V11" s="118">
        <f>IF(xehet1!P160&gt;30,200+xehet1!S160,100+xehet1!S160)</f>
        <v>120</v>
      </c>
    </row>
    <row r="12" spans="1:22" ht="15">
      <c r="A12" s="212" t="s">
        <v>426</v>
      </c>
      <c r="B12" s="213">
        <v>43731</v>
      </c>
      <c r="C12" s="212" t="s">
        <v>427</v>
      </c>
      <c r="D12" s="214">
        <v>2880</v>
      </c>
      <c r="K12" s="213">
        <v>43731</v>
      </c>
      <c r="M12" s="124">
        <f>+N12</f>
        <v>43769</v>
      </c>
      <c r="N12" s="213">
        <v>43769</v>
      </c>
      <c r="O12" s="97">
        <f>+K12-M12</f>
        <v>-38</v>
      </c>
      <c r="P12" s="97">
        <f>+N12-M12</f>
        <v>0</v>
      </c>
      <c r="Q12" s="97">
        <f>+N12-K12</f>
        <v>38</v>
      </c>
      <c r="R12" s="97">
        <f>+Q12-30</f>
        <v>8</v>
      </c>
      <c r="S12">
        <v>29</v>
      </c>
      <c r="T12" s="131">
        <f>+P12*D12</f>
        <v>0</v>
      </c>
      <c r="U12" s="131">
        <f>+R12*D12</f>
        <v>23040</v>
      </c>
      <c r="V12" s="118">
        <f>IF(P11&gt;30,200+S11,100+S11)</f>
        <v>129</v>
      </c>
    </row>
    <row r="13" spans="1:22" ht="15">
      <c r="A13" s="212" t="s">
        <v>428</v>
      </c>
      <c r="B13" s="213">
        <v>43731</v>
      </c>
      <c r="C13" s="212" t="s">
        <v>429</v>
      </c>
      <c r="D13" s="214">
        <v>2880</v>
      </c>
      <c r="K13" s="213">
        <v>43731</v>
      </c>
      <c r="M13" s="124">
        <f>+N13</f>
        <v>43799</v>
      </c>
      <c r="N13" s="213">
        <v>43799</v>
      </c>
      <c r="O13" s="97">
        <f>+K13-M13</f>
        <v>-68</v>
      </c>
      <c r="P13" s="97">
        <f>+N13-M13</f>
        <v>0</v>
      </c>
      <c r="Q13" s="97">
        <f>+N13-K13</f>
        <v>68</v>
      </c>
      <c r="R13" s="97">
        <f>+Q13-30</f>
        <v>38</v>
      </c>
      <c r="S13">
        <v>29</v>
      </c>
      <c r="T13" s="131">
        <f>+P13*D13</f>
        <v>0</v>
      </c>
      <c r="U13" s="131">
        <f>+R13*D13</f>
        <v>109440</v>
      </c>
      <c r="V13" s="118">
        <f>IF(P12&gt;30,200+S12,100+S12)</f>
        <v>129</v>
      </c>
    </row>
    <row r="14" spans="1:22" s="117" customFormat="1" ht="15">
      <c r="A14" s="215" t="s">
        <v>430</v>
      </c>
      <c r="B14" s="216">
        <v>43738</v>
      </c>
      <c r="C14" s="215" t="s">
        <v>431</v>
      </c>
      <c r="D14" s="217">
        <v>2750</v>
      </c>
      <c r="K14" s="216">
        <v>43738</v>
      </c>
      <c r="L14" s="98"/>
      <c r="M14" s="130">
        <f>+N14</f>
        <v>43753</v>
      </c>
      <c r="N14" s="216">
        <v>43753</v>
      </c>
      <c r="O14" s="97">
        <f>+K14-M14</f>
        <v>-15</v>
      </c>
      <c r="P14" s="97">
        <f>+N14-M14</f>
        <v>0</v>
      </c>
      <c r="Q14" s="97">
        <f>+N14-K14</f>
        <v>15</v>
      </c>
      <c r="R14" s="97">
        <f>+Q14-30</f>
        <v>-15</v>
      </c>
      <c r="S14" s="218">
        <v>29</v>
      </c>
      <c r="T14" s="131">
        <f>+P14*D14</f>
        <v>0</v>
      </c>
      <c r="U14" s="131">
        <f>+R14*D14</f>
        <v>-41250</v>
      </c>
      <c r="V14" s="118">
        <f>IF(P13&gt;30,200+S13,100+S13)</f>
        <v>129</v>
      </c>
    </row>
    <row r="15" spans="1:22" s="117" customFormat="1" ht="15">
      <c r="A15" s="215" t="s">
        <v>432</v>
      </c>
      <c r="B15" s="216">
        <v>43738</v>
      </c>
      <c r="C15" s="215" t="s">
        <v>433</v>
      </c>
      <c r="D15" s="217">
        <v>655.42</v>
      </c>
      <c r="K15" s="216">
        <v>43738</v>
      </c>
      <c r="L15" s="98"/>
      <c r="M15" s="130">
        <f>+N15</f>
        <v>43753</v>
      </c>
      <c r="N15" s="216">
        <v>43753</v>
      </c>
      <c r="O15" s="97">
        <f>+K15-M15</f>
        <v>-15</v>
      </c>
      <c r="P15" s="97">
        <f>+N15-M15</f>
        <v>0</v>
      </c>
      <c r="Q15" s="97">
        <f>+N15-K15</f>
        <v>15</v>
      </c>
      <c r="R15" s="97">
        <f>+Q15-30</f>
        <v>-15</v>
      </c>
      <c r="S15" s="218">
        <v>29</v>
      </c>
      <c r="T15" s="131">
        <f>+P15*D15</f>
        <v>0</v>
      </c>
      <c r="U15" s="131">
        <f>+R15*D15</f>
        <v>-9831.3</v>
      </c>
      <c r="V15" s="118">
        <f>IF(P14&gt;30,200+S14,100+S14)</f>
        <v>129</v>
      </c>
    </row>
    <row r="16" spans="1:22" s="117" customFormat="1" ht="15">
      <c r="A16" s="215" t="s">
        <v>434</v>
      </c>
      <c r="B16" s="216">
        <v>43733</v>
      </c>
      <c r="C16" s="215" t="s">
        <v>435</v>
      </c>
      <c r="D16" s="217">
        <v>1877.07</v>
      </c>
      <c r="K16" s="216">
        <v>43733</v>
      </c>
      <c r="L16" s="98"/>
      <c r="M16" s="130">
        <f>+N16</f>
        <v>43763</v>
      </c>
      <c r="N16" s="216">
        <v>43763</v>
      </c>
      <c r="O16" s="97">
        <f>+K16-M16</f>
        <v>-30</v>
      </c>
      <c r="P16" s="97">
        <f>+N16-M16</f>
        <v>0</v>
      </c>
      <c r="Q16" s="97">
        <f>+N16-K16</f>
        <v>30</v>
      </c>
      <c r="R16" s="97">
        <f>+Q16-30</f>
        <v>0</v>
      </c>
      <c r="S16" s="218">
        <v>29</v>
      </c>
      <c r="T16" s="131">
        <f>+P16*D16</f>
        <v>0</v>
      </c>
      <c r="U16" s="131">
        <f>+R16*D16</f>
        <v>0</v>
      </c>
      <c r="V16" s="118">
        <f>IF(P15&gt;30,200+S15,100+S15)</f>
        <v>129</v>
      </c>
    </row>
    <row r="17" spans="1:22" s="117" customFormat="1" ht="15">
      <c r="A17" s="215" t="s">
        <v>436</v>
      </c>
      <c r="B17" s="216">
        <v>43731</v>
      </c>
      <c r="C17" s="215" t="s">
        <v>437</v>
      </c>
      <c r="D17" s="217">
        <v>94.38</v>
      </c>
      <c r="K17" s="216">
        <v>43731</v>
      </c>
      <c r="L17" s="98"/>
      <c r="M17" s="130">
        <f>+N17</f>
        <v>43753</v>
      </c>
      <c r="N17" s="216">
        <v>43753</v>
      </c>
      <c r="O17" s="97">
        <f>+K17-M17</f>
        <v>-22</v>
      </c>
      <c r="P17" s="97">
        <f>+N17-M17</f>
        <v>0</v>
      </c>
      <c r="Q17" s="97">
        <f>+N17-K17</f>
        <v>22</v>
      </c>
      <c r="R17" s="97">
        <f>+Q17-30</f>
        <v>-8</v>
      </c>
      <c r="S17" s="218">
        <v>29</v>
      </c>
      <c r="T17" s="131">
        <f>+P17*D17</f>
        <v>0</v>
      </c>
      <c r="U17" s="131">
        <f>+R17*D17</f>
        <v>-755.04</v>
      </c>
      <c r="V17" s="118">
        <f>IF(P16&gt;30,200+S16,100+S16)</f>
        <v>129</v>
      </c>
    </row>
    <row r="18" spans="1:22" s="117" customFormat="1" ht="15">
      <c r="A18" s="215" t="s">
        <v>438</v>
      </c>
      <c r="B18" s="216">
        <v>43738</v>
      </c>
      <c r="C18" s="215" t="s">
        <v>439</v>
      </c>
      <c r="D18" s="217">
        <v>391.2</v>
      </c>
      <c r="K18" s="216">
        <v>43738</v>
      </c>
      <c r="L18" s="98"/>
      <c r="M18" s="130">
        <f>+N18</f>
        <v>43753</v>
      </c>
      <c r="N18" s="216">
        <v>43753</v>
      </c>
      <c r="O18" s="97">
        <f>+K18-M18</f>
        <v>-15</v>
      </c>
      <c r="P18" s="97">
        <f>+N18-M18</f>
        <v>0</v>
      </c>
      <c r="Q18" s="97">
        <f>+N18-K18</f>
        <v>15</v>
      </c>
      <c r="R18" s="97">
        <f>+Q18-30</f>
        <v>-15</v>
      </c>
      <c r="S18" s="218">
        <v>29</v>
      </c>
      <c r="T18" s="131">
        <f>+P18*D18</f>
        <v>0</v>
      </c>
      <c r="U18" s="131">
        <f>+R18*D18</f>
        <v>-5868</v>
      </c>
      <c r="V18" s="118">
        <f>IF(P17&gt;30,200+S17,100+S17)</f>
        <v>129</v>
      </c>
    </row>
    <row r="19" spans="1:22" ht="15">
      <c r="A19" s="212" t="s">
        <v>440</v>
      </c>
      <c r="B19" s="213">
        <v>43735</v>
      </c>
      <c r="C19" s="212" t="s">
        <v>441</v>
      </c>
      <c r="D19" s="214">
        <v>304.46</v>
      </c>
      <c r="K19" s="213">
        <v>43735</v>
      </c>
      <c r="M19" s="124">
        <f>+N19</f>
        <v>43754</v>
      </c>
      <c r="N19" s="213">
        <v>43754</v>
      </c>
      <c r="O19" s="97">
        <f>+K19-M19</f>
        <v>-19</v>
      </c>
      <c r="P19" s="97">
        <f>+N19-M19</f>
        <v>0</v>
      </c>
      <c r="Q19" s="97">
        <f>+N19-K19</f>
        <v>19</v>
      </c>
      <c r="R19" s="97">
        <f>+Q19-30</f>
        <v>-11</v>
      </c>
      <c r="S19">
        <v>29</v>
      </c>
      <c r="T19" s="131">
        <f>+P19*D19</f>
        <v>0</v>
      </c>
      <c r="U19" s="131">
        <f>+R19*D19</f>
        <v>-3349.06</v>
      </c>
      <c r="V19" s="118">
        <f>IF(P18&gt;30,200+S18,100+S18)</f>
        <v>129</v>
      </c>
    </row>
    <row r="20" spans="1:22" ht="15">
      <c r="A20" s="212" t="s">
        <v>442</v>
      </c>
      <c r="B20" s="213">
        <v>43735</v>
      </c>
      <c r="C20" s="212" t="s">
        <v>443</v>
      </c>
      <c r="D20" s="214">
        <v>217.62</v>
      </c>
      <c r="K20" s="213">
        <v>43735</v>
      </c>
      <c r="M20" s="124">
        <f>+N20</f>
        <v>43754</v>
      </c>
      <c r="N20" s="213">
        <v>43754</v>
      </c>
      <c r="O20" s="97">
        <f>+K20-M20</f>
        <v>-19</v>
      </c>
      <c r="P20" s="97">
        <f>+N20-M20</f>
        <v>0</v>
      </c>
      <c r="Q20" s="97">
        <f>+N20-K20</f>
        <v>19</v>
      </c>
      <c r="R20" s="97">
        <f>+Q20-30</f>
        <v>-11</v>
      </c>
      <c r="S20">
        <v>29</v>
      </c>
      <c r="T20" s="131">
        <f>+P20*D20</f>
        <v>0</v>
      </c>
      <c r="U20" s="131">
        <f>+R20*D20</f>
        <v>-2393.82</v>
      </c>
      <c r="V20" s="118">
        <f>IF(P19&gt;30,200+S19,100+S19)</f>
        <v>129</v>
      </c>
    </row>
    <row r="21" spans="1:22" ht="15">
      <c r="A21" s="212" t="s">
        <v>444</v>
      </c>
      <c r="B21" s="213">
        <v>43735</v>
      </c>
      <c r="C21" s="212" t="s">
        <v>445</v>
      </c>
      <c r="D21" s="214">
        <v>515.65</v>
      </c>
      <c r="K21" s="213">
        <v>43735</v>
      </c>
      <c r="M21" s="124">
        <f>+N21</f>
        <v>43754</v>
      </c>
      <c r="N21" s="213">
        <v>43754</v>
      </c>
      <c r="O21" s="97">
        <f>+K21-M21</f>
        <v>-19</v>
      </c>
      <c r="P21" s="97">
        <f>+N21-M21</f>
        <v>0</v>
      </c>
      <c r="Q21" s="97">
        <f>+N21-K21</f>
        <v>19</v>
      </c>
      <c r="R21" s="97">
        <f>+Q21-30</f>
        <v>-11</v>
      </c>
      <c r="S21">
        <v>29</v>
      </c>
      <c r="T21" s="131">
        <f>+P21*D21</f>
        <v>0</v>
      </c>
      <c r="U21" s="131">
        <f>+R21*D21</f>
        <v>-5672.15</v>
      </c>
      <c r="V21" s="118">
        <f>IF(P20&gt;30,200+S20,100+S20)</f>
        <v>129</v>
      </c>
    </row>
    <row r="22" spans="1:22" s="117" customFormat="1" ht="15">
      <c r="A22" s="215" t="s">
        <v>446</v>
      </c>
      <c r="B22" s="216">
        <v>43738</v>
      </c>
      <c r="C22" s="215" t="s">
        <v>447</v>
      </c>
      <c r="D22" s="217">
        <v>50.82</v>
      </c>
      <c r="K22" s="216">
        <v>43738</v>
      </c>
      <c r="L22" s="98"/>
      <c r="M22" s="130">
        <f>+N22</f>
        <v>43769</v>
      </c>
      <c r="N22" s="216">
        <v>43769</v>
      </c>
      <c r="O22" s="97">
        <f>+K22-M22</f>
        <v>-31</v>
      </c>
      <c r="P22" s="97">
        <f>+N22-M22</f>
        <v>0</v>
      </c>
      <c r="Q22" s="97">
        <f>+N22-K22</f>
        <v>31</v>
      </c>
      <c r="R22" s="97">
        <f>+Q22-30</f>
        <v>1</v>
      </c>
      <c r="S22" s="218">
        <v>29</v>
      </c>
      <c r="T22" s="131">
        <f>+P22*D22</f>
        <v>0</v>
      </c>
      <c r="U22" s="131">
        <f>+R22*D22</f>
        <v>50.82</v>
      </c>
      <c r="V22" s="118">
        <f>IF(P21&gt;30,200+S21,100+S21)</f>
        <v>129</v>
      </c>
    </row>
    <row r="23" spans="1:22" s="117" customFormat="1" ht="15">
      <c r="A23" s="215" t="s">
        <v>448</v>
      </c>
      <c r="B23" s="216">
        <v>43738</v>
      </c>
      <c r="C23" s="215" t="s">
        <v>449</v>
      </c>
      <c r="D23" s="217">
        <v>94.16</v>
      </c>
      <c r="K23" s="216">
        <v>43738</v>
      </c>
      <c r="L23" s="98"/>
      <c r="M23" s="130">
        <f>+N23</f>
        <v>43745</v>
      </c>
      <c r="N23" s="216">
        <v>43745</v>
      </c>
      <c r="O23" s="97">
        <f>+K23-M23</f>
        <v>-7</v>
      </c>
      <c r="P23" s="97">
        <f>+N23-M23</f>
        <v>0</v>
      </c>
      <c r="Q23" s="97">
        <f>+N23-K23</f>
        <v>7</v>
      </c>
      <c r="R23" s="97">
        <f>+Q23-30</f>
        <v>-23</v>
      </c>
      <c r="S23" s="218">
        <v>29</v>
      </c>
      <c r="T23" s="131">
        <f>+P23*D23</f>
        <v>0</v>
      </c>
      <c r="U23" s="131">
        <f>+R23*D23</f>
        <v>-2165.68</v>
      </c>
      <c r="V23" s="118">
        <f>IF(P22&gt;30,200+S22,100+S22)</f>
        <v>129</v>
      </c>
    </row>
    <row r="24" spans="1:22" s="117" customFormat="1" ht="15">
      <c r="A24" s="215" t="s">
        <v>450</v>
      </c>
      <c r="B24" s="216">
        <v>43738</v>
      </c>
      <c r="C24" s="215" t="s">
        <v>451</v>
      </c>
      <c r="D24" s="217">
        <v>298.07</v>
      </c>
      <c r="K24" s="216">
        <v>43738</v>
      </c>
      <c r="L24" s="98"/>
      <c r="M24" s="130">
        <f>+N24</f>
        <v>43769</v>
      </c>
      <c r="N24" s="216">
        <v>43769</v>
      </c>
      <c r="O24" s="97">
        <f>+K24-M24</f>
        <v>-31</v>
      </c>
      <c r="P24" s="97">
        <f>+N24-M24</f>
        <v>0</v>
      </c>
      <c r="Q24" s="97">
        <f>+N24-K24</f>
        <v>31</v>
      </c>
      <c r="R24" s="97">
        <f>+Q24-30</f>
        <v>1</v>
      </c>
      <c r="S24" s="218">
        <v>29</v>
      </c>
      <c r="T24" s="131">
        <f>+P24*D24</f>
        <v>0</v>
      </c>
      <c r="U24" s="131">
        <f>+R24*D24</f>
        <v>298.07</v>
      </c>
      <c r="V24" s="118">
        <f>IF(P23&gt;30,200+S23,100+S23)</f>
        <v>129</v>
      </c>
    </row>
    <row r="25" spans="1:22" ht="15">
      <c r="A25" s="212" t="s">
        <v>452</v>
      </c>
      <c r="B25" s="213">
        <v>43735</v>
      </c>
      <c r="C25" s="212" t="s">
        <v>453</v>
      </c>
      <c r="D25" s="214">
        <v>479.39</v>
      </c>
      <c r="K25" s="213">
        <v>43735</v>
      </c>
      <c r="M25" s="124">
        <f>+N25</f>
        <v>43754</v>
      </c>
      <c r="N25" s="213">
        <v>43754</v>
      </c>
      <c r="O25" s="97">
        <f>+K25-M25</f>
        <v>-19</v>
      </c>
      <c r="P25" s="97">
        <f>+N25-M25</f>
        <v>0</v>
      </c>
      <c r="Q25" s="97">
        <f>+N25-K25</f>
        <v>19</v>
      </c>
      <c r="R25" s="97">
        <f>+Q25-30</f>
        <v>-11</v>
      </c>
      <c r="S25">
        <v>29</v>
      </c>
      <c r="T25" s="131">
        <f>+P25*D25</f>
        <v>0</v>
      </c>
      <c r="U25" s="131">
        <f>+R25*D25</f>
        <v>-5273.29</v>
      </c>
      <c r="V25" s="118">
        <f>IF(P24&gt;30,200+S24,100+S24)</f>
        <v>129</v>
      </c>
    </row>
    <row r="26" spans="1:22" ht="15">
      <c r="A26" s="212" t="s">
        <v>466</v>
      </c>
      <c r="B26" s="213">
        <v>43735</v>
      </c>
      <c r="C26" s="212" t="s">
        <v>467</v>
      </c>
      <c r="D26" s="214">
        <v>330.14</v>
      </c>
      <c r="K26" s="213">
        <v>43735</v>
      </c>
      <c r="M26" s="124">
        <f>+N26</f>
        <v>43754</v>
      </c>
      <c r="N26" s="213">
        <v>43754</v>
      </c>
      <c r="O26" s="97">
        <f>+K26-M26</f>
        <v>-19</v>
      </c>
      <c r="P26" s="97">
        <f>+N26-M26</f>
        <v>0</v>
      </c>
      <c r="Q26" s="97">
        <f>+N26-K26</f>
        <v>19</v>
      </c>
      <c r="R26" s="97">
        <f>+Q26-30</f>
        <v>-11</v>
      </c>
      <c r="S26">
        <v>29</v>
      </c>
      <c r="T26" s="131">
        <f>+P26*D26</f>
        <v>0</v>
      </c>
      <c r="U26" s="131">
        <f>+R26*D26</f>
        <v>-3631.54</v>
      </c>
      <c r="V26" s="118">
        <f>IF(xehet1!P166&gt;30,200+xehet1!S166,100+xehet1!S166)</f>
        <v>121</v>
      </c>
    </row>
    <row r="27" spans="1:22" ht="15">
      <c r="A27" s="212" t="s">
        <v>468</v>
      </c>
      <c r="B27" s="213">
        <v>43738</v>
      </c>
      <c r="C27" s="212" t="s">
        <v>469</v>
      </c>
      <c r="D27" s="214">
        <v>1464.06</v>
      </c>
      <c r="K27" s="213">
        <v>43738</v>
      </c>
      <c r="M27" s="124">
        <f>+N27</f>
        <v>43739</v>
      </c>
      <c r="N27" s="213">
        <v>43739</v>
      </c>
      <c r="O27" s="97">
        <f>+K27-M27</f>
        <v>-1</v>
      </c>
      <c r="P27" s="97">
        <f>+N27-M27</f>
        <v>0</v>
      </c>
      <c r="Q27" s="97">
        <f>+N27-K27</f>
        <v>1</v>
      </c>
      <c r="R27" s="97">
        <f>+Q27-30</f>
        <v>-29</v>
      </c>
      <c r="S27">
        <v>29</v>
      </c>
      <c r="T27" s="131">
        <f>+P27*D27</f>
        <v>0</v>
      </c>
      <c r="U27" s="131">
        <f>+R27*D27</f>
        <v>-42457.74</v>
      </c>
      <c r="V27" s="118">
        <f>IF(P26&gt;30,200+S26,100+S26)</f>
        <v>129</v>
      </c>
    </row>
    <row r="28" spans="1:22" ht="15">
      <c r="A28" s="212" t="s">
        <v>498</v>
      </c>
      <c r="B28" s="213">
        <v>43738</v>
      </c>
      <c r="C28" s="212" t="s">
        <v>499</v>
      </c>
      <c r="D28" s="214">
        <v>1108.17</v>
      </c>
      <c r="K28" s="213">
        <v>43738</v>
      </c>
      <c r="M28" s="124">
        <f>+N28</f>
        <v>43739</v>
      </c>
      <c r="N28" s="213">
        <v>43739</v>
      </c>
      <c r="O28" s="97">
        <f>+K28-M28</f>
        <v>-1</v>
      </c>
      <c r="P28" s="97">
        <f>+N28-M28</f>
        <v>0</v>
      </c>
      <c r="Q28" s="97">
        <f>+N28-K28</f>
        <v>1</v>
      </c>
      <c r="R28" s="97">
        <f>+Q28-30</f>
        <v>-29</v>
      </c>
      <c r="S28">
        <v>29</v>
      </c>
      <c r="T28" s="131">
        <f>+P28*D28</f>
        <v>0</v>
      </c>
      <c r="U28" s="131">
        <f>+R28*D28</f>
        <v>-32136.93</v>
      </c>
      <c r="V28" s="118">
        <f>IF(xehet1!P177&gt;30,200+xehet1!S177,100+xehet1!S177)</f>
        <v>120</v>
      </c>
    </row>
    <row r="29" spans="1:22" ht="15">
      <c r="A29" s="212" t="s">
        <v>502</v>
      </c>
      <c r="B29" s="213">
        <v>43708</v>
      </c>
      <c r="C29" s="212" t="s">
        <v>503</v>
      </c>
      <c r="D29" s="214">
        <v>723.02</v>
      </c>
      <c r="K29" s="213">
        <v>43708</v>
      </c>
      <c r="M29" s="124">
        <f>+N29</f>
        <v>43753</v>
      </c>
      <c r="N29" s="213">
        <v>43753</v>
      </c>
      <c r="O29" s="97">
        <f>+K29-M29</f>
        <v>-45</v>
      </c>
      <c r="P29" s="97">
        <f>+N29-M29</f>
        <v>0</v>
      </c>
      <c r="Q29" s="97">
        <f>+N29-K29</f>
        <v>45</v>
      </c>
      <c r="R29" s="97">
        <f>+Q29-30</f>
        <v>15</v>
      </c>
      <c r="S29">
        <v>29</v>
      </c>
      <c r="T29" s="131">
        <f>+P29*D29</f>
        <v>0</v>
      </c>
      <c r="U29" s="131">
        <f>+R29*D29</f>
        <v>10845.3</v>
      </c>
      <c r="V29" s="118">
        <f>IF(xehet32!P34&gt;30,200+xehet32!S34,100+xehet32!S34)</f>
        <v>129</v>
      </c>
    </row>
    <row r="30" spans="1:22" ht="15">
      <c r="A30" s="212" t="s">
        <v>510</v>
      </c>
      <c r="B30" s="213">
        <v>43735</v>
      </c>
      <c r="C30" s="212" t="s">
        <v>511</v>
      </c>
      <c r="D30" s="214">
        <v>34.1</v>
      </c>
      <c r="K30" s="213">
        <v>43735</v>
      </c>
      <c r="M30" s="124">
        <f>+N30</f>
        <v>43754</v>
      </c>
      <c r="N30" s="213">
        <v>43754</v>
      </c>
      <c r="O30" s="97">
        <f>+K30-M30</f>
        <v>-19</v>
      </c>
      <c r="P30" s="97">
        <f>+N30-M30</f>
        <v>0</v>
      </c>
      <c r="Q30" s="97">
        <f>+N30-K30</f>
        <v>19</v>
      </c>
      <c r="R30" s="97">
        <f>+Q30-30</f>
        <v>-11</v>
      </c>
      <c r="S30">
        <v>29</v>
      </c>
      <c r="T30" s="131">
        <f>+P30*D30</f>
        <v>0</v>
      </c>
      <c r="U30" s="131">
        <f>+R30*D30</f>
        <v>-375.1</v>
      </c>
      <c r="V30" s="118">
        <f>IF(xehet32!P36&gt;30,200+xehet32!S36,100+xehet32!S36)</f>
        <v>129</v>
      </c>
    </row>
    <row r="31" spans="1:22" ht="15">
      <c r="A31" s="212" t="s">
        <v>516</v>
      </c>
      <c r="B31" s="213">
        <v>43735</v>
      </c>
      <c r="C31" s="212" t="s">
        <v>517</v>
      </c>
      <c r="D31" s="214">
        <v>25.13</v>
      </c>
      <c r="K31" s="213">
        <v>43735</v>
      </c>
      <c r="M31" s="124">
        <f>+N31</f>
        <v>43754</v>
      </c>
      <c r="N31" s="213">
        <v>43754</v>
      </c>
      <c r="O31" s="97">
        <f>+K31-M31</f>
        <v>-19</v>
      </c>
      <c r="P31" s="97">
        <f>+N31-M31</f>
        <v>0</v>
      </c>
      <c r="Q31" s="97">
        <f>+N31-K31</f>
        <v>19</v>
      </c>
      <c r="R31" s="97">
        <f>+Q31-30</f>
        <v>-11</v>
      </c>
      <c r="S31">
        <v>29</v>
      </c>
      <c r="T31" s="131">
        <f>+P31*D31</f>
        <v>0</v>
      </c>
      <c r="U31" s="131">
        <f>+R31*D31</f>
        <v>-276.43</v>
      </c>
      <c r="V31" s="118">
        <f>IF(xehet1!P180&gt;30,200+xehet1!S180,100+xehet1!S180)</f>
        <v>129</v>
      </c>
    </row>
    <row r="32" spans="1:22" ht="15">
      <c r="A32" s="212" t="s">
        <v>520</v>
      </c>
      <c r="B32" s="213">
        <v>43735</v>
      </c>
      <c r="C32" s="212" t="s">
        <v>521</v>
      </c>
      <c r="D32" s="214">
        <v>34.1</v>
      </c>
      <c r="K32" s="213">
        <v>43735</v>
      </c>
      <c r="M32" s="124">
        <f>+N32</f>
        <v>43754</v>
      </c>
      <c r="N32" s="213">
        <v>43754</v>
      </c>
      <c r="O32" s="97">
        <f>+K32-M32</f>
        <v>-19</v>
      </c>
      <c r="P32" s="97">
        <f>+N32-M32</f>
        <v>0</v>
      </c>
      <c r="Q32" s="97">
        <f>+N32-K32</f>
        <v>19</v>
      </c>
      <c r="R32" s="97">
        <f>+Q32-30</f>
        <v>-11</v>
      </c>
      <c r="S32">
        <v>29</v>
      </c>
      <c r="T32" s="131">
        <f>+P32*D32</f>
        <v>0</v>
      </c>
      <c r="U32" s="131">
        <f>+R32*D32</f>
        <v>-375.1</v>
      </c>
      <c r="V32" s="118">
        <f>IF(xehet1!P181&gt;30,200+xehet1!S181,100+xehet1!S181)</f>
        <v>129</v>
      </c>
    </row>
    <row r="33" spans="1:22" ht="15">
      <c r="A33" s="212" t="s">
        <v>524</v>
      </c>
      <c r="B33" s="213">
        <v>43735</v>
      </c>
      <c r="C33" s="212" t="s">
        <v>525</v>
      </c>
      <c r="D33" s="214">
        <v>18.53</v>
      </c>
      <c r="K33" s="213">
        <v>43735</v>
      </c>
      <c r="M33" s="124">
        <f>+N33</f>
        <v>43754</v>
      </c>
      <c r="N33" s="213">
        <v>43754</v>
      </c>
      <c r="O33" s="97">
        <f>+K33-M33</f>
        <v>-19</v>
      </c>
      <c r="P33" s="97">
        <f>+N33-M33</f>
        <v>0</v>
      </c>
      <c r="Q33" s="97">
        <f>+N33-K33</f>
        <v>19</v>
      </c>
      <c r="R33" s="97">
        <f>+Q33-30</f>
        <v>-11</v>
      </c>
      <c r="S33">
        <v>29</v>
      </c>
      <c r="T33" s="131">
        <f>+P33*D33</f>
        <v>0</v>
      </c>
      <c r="U33" s="131">
        <f>+R33*D33</f>
        <v>-203.83</v>
      </c>
      <c r="V33" s="118">
        <f>IF(xehet1!P182&gt;30,200+xehet1!S182,100+xehet1!S182)</f>
        <v>129</v>
      </c>
    </row>
    <row r="34" spans="1:22" ht="15">
      <c r="A34" s="212" t="s">
        <v>528</v>
      </c>
      <c r="B34" s="213">
        <v>43735</v>
      </c>
      <c r="C34" s="212" t="s">
        <v>529</v>
      </c>
      <c r="D34" s="214">
        <v>17.74</v>
      </c>
      <c r="K34" s="213">
        <v>43735</v>
      </c>
      <c r="M34" s="124">
        <f>+N34</f>
        <v>43754</v>
      </c>
      <c r="N34" s="213">
        <v>43754</v>
      </c>
      <c r="O34" s="97">
        <f>+K34-M34</f>
        <v>-19</v>
      </c>
      <c r="P34" s="97">
        <f>+N34-M34</f>
        <v>0</v>
      </c>
      <c r="Q34" s="97">
        <f>+N34-K34</f>
        <v>19</v>
      </c>
      <c r="R34" s="97">
        <f>+Q34-30</f>
        <v>-11</v>
      </c>
      <c r="S34">
        <v>29</v>
      </c>
      <c r="T34" s="131">
        <f>+P34*D34</f>
        <v>0</v>
      </c>
      <c r="U34" s="131">
        <f>+R34*D34</f>
        <v>-195.14</v>
      </c>
      <c r="V34" s="118">
        <f>IF(xehet1!P183&gt;30,200+xehet1!S183,100+xehet1!S183)</f>
        <v>129</v>
      </c>
    </row>
    <row r="35" spans="1:22" ht="15">
      <c r="A35" s="212" t="s">
        <v>530</v>
      </c>
      <c r="B35" s="213">
        <v>43735</v>
      </c>
      <c r="C35" s="212" t="s">
        <v>531</v>
      </c>
      <c r="D35" s="214">
        <v>317.08</v>
      </c>
      <c r="K35" s="213">
        <v>43735</v>
      </c>
      <c r="M35" s="124">
        <f>+N35</f>
        <v>43754</v>
      </c>
      <c r="N35" s="213">
        <v>43754</v>
      </c>
      <c r="O35" s="97">
        <f>+K35-M35</f>
        <v>-19</v>
      </c>
      <c r="P35" s="97">
        <f>+N35-M35</f>
        <v>0</v>
      </c>
      <c r="Q35" s="97">
        <f>+N35-K35</f>
        <v>19</v>
      </c>
      <c r="R35" s="97">
        <f>+Q35-30</f>
        <v>-11</v>
      </c>
      <c r="S35">
        <v>29</v>
      </c>
      <c r="T35" s="131">
        <f>+P35*D35</f>
        <v>0</v>
      </c>
      <c r="U35" s="131">
        <f>+R35*D35</f>
        <v>-3487.8799999999997</v>
      </c>
      <c r="V35" s="118">
        <f>IF(P34&gt;30,200+S34,100+S34)</f>
        <v>129</v>
      </c>
    </row>
    <row r="36" spans="1:22" ht="15">
      <c r="A36" s="212" t="s">
        <v>534</v>
      </c>
      <c r="B36" s="213">
        <v>43738</v>
      </c>
      <c r="C36" s="212" t="s">
        <v>535</v>
      </c>
      <c r="D36" s="214">
        <v>346.06</v>
      </c>
      <c r="K36" s="213">
        <v>43738</v>
      </c>
      <c r="M36" s="124">
        <f>+N36</f>
        <v>43739</v>
      </c>
      <c r="N36" s="213">
        <v>43739</v>
      </c>
      <c r="O36" s="97">
        <f>+N36-M36</f>
        <v>0</v>
      </c>
      <c r="P36" s="97">
        <f>+M36-$Q$2</f>
        <v>1</v>
      </c>
      <c r="Q36" s="97">
        <f>+N36-$Q$2</f>
        <v>1</v>
      </c>
      <c r="R36" s="97">
        <f>+Q36-30</f>
        <v>-29</v>
      </c>
      <c r="S36">
        <v>29</v>
      </c>
      <c r="T36" s="131"/>
      <c r="U36" s="131"/>
      <c r="V36" s="118"/>
    </row>
    <row r="37" spans="1:22" ht="15">
      <c r="A37" s="212" t="s">
        <v>544</v>
      </c>
      <c r="B37" s="213">
        <v>43647</v>
      </c>
      <c r="C37" s="212" t="s">
        <v>545</v>
      </c>
      <c r="D37" s="214">
        <v>272.25</v>
      </c>
      <c r="K37" s="213">
        <v>43647</v>
      </c>
      <c r="M37" s="124">
        <f>+N37</f>
        <v>43753</v>
      </c>
      <c r="N37" s="213">
        <v>43753</v>
      </c>
      <c r="O37" s="97">
        <f>+N37-M37</f>
        <v>0</v>
      </c>
      <c r="P37" s="97">
        <f>+M37-$Q$2</f>
        <v>15</v>
      </c>
      <c r="Q37" s="97">
        <f>+N37-$Q$2</f>
        <v>15</v>
      </c>
      <c r="R37" s="97">
        <f>+Q37-30</f>
        <v>-15</v>
      </c>
      <c r="S37">
        <v>29</v>
      </c>
      <c r="T37" s="131"/>
      <c r="U37" s="131"/>
      <c r="V37" s="118"/>
    </row>
    <row r="38" spans="1:22" ht="15">
      <c r="A38" s="212" t="s">
        <v>592</v>
      </c>
      <c r="B38" s="213">
        <v>43738</v>
      </c>
      <c r="C38" s="212" t="s">
        <v>593</v>
      </c>
      <c r="D38" s="214">
        <v>1462.16</v>
      </c>
      <c r="K38" s="213">
        <v>43738</v>
      </c>
      <c r="M38" s="124">
        <f>+N38</f>
        <v>43759</v>
      </c>
      <c r="N38" s="213">
        <v>43759</v>
      </c>
      <c r="O38" s="97">
        <f>+N38-M38</f>
        <v>0</v>
      </c>
      <c r="P38" s="97">
        <f>+M38-$Q$2</f>
        <v>21</v>
      </c>
      <c r="Q38" s="97">
        <f>+N38-$Q$2</f>
        <v>21</v>
      </c>
      <c r="R38" s="97">
        <f>+Q38-30</f>
        <v>-9</v>
      </c>
      <c r="S38">
        <v>29</v>
      </c>
      <c r="T38" s="131"/>
      <c r="U38" s="131"/>
      <c r="V38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V53"/>
  <sheetViews>
    <sheetView zoomScalePageLayoutView="0" workbookViewId="0" topLeftCell="A11">
      <selection activeCell="A3" sqref="A3:IV38"/>
    </sheetView>
  </sheetViews>
  <sheetFormatPr defaultColWidth="9.140625" defaultRowHeight="12.75"/>
  <cols>
    <col min="1" max="1" width="16.7109375" style="2" customWidth="1"/>
    <col min="2" max="2" width="10.7109375" style="15" bestFit="1" customWidth="1"/>
    <col min="3" max="3" width="18.28125" style="2" bestFit="1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140625" style="15" customWidth="1"/>
    <col min="12" max="12" width="9.140625" style="15" customWidth="1"/>
    <col min="13" max="14" width="10.7109375" style="15" bestFit="1" customWidth="1"/>
    <col min="15" max="15" width="9.140625" style="10" customWidth="1"/>
    <col min="16" max="16" width="9.8515625" style="10" bestFit="1" customWidth="1"/>
    <col min="17" max="17" width="9.8515625" style="2" bestFit="1" customWidth="1"/>
    <col min="18" max="19" width="15.57421875" style="8" bestFit="1" customWidth="1"/>
    <col min="20" max="16384" width="9.140625" style="2" customWidth="1"/>
  </cols>
  <sheetData>
    <row r="1" spans="1:18" ht="11.25">
      <c r="A1" s="3" t="s">
        <v>81</v>
      </c>
      <c r="B1" s="17"/>
      <c r="C1" s="4"/>
      <c r="D1" s="7"/>
      <c r="E1" s="4"/>
      <c r="F1" s="4"/>
      <c r="G1" s="4"/>
      <c r="H1" s="2" t="s">
        <v>107</v>
      </c>
      <c r="K1" s="2"/>
      <c r="O1" s="97" t="s">
        <v>102</v>
      </c>
      <c r="P1" s="120">
        <v>43738</v>
      </c>
      <c r="R1" s="2"/>
    </row>
    <row r="2" spans="1:20" ht="38.25" customHeight="1">
      <c r="A2" s="5" t="s">
        <v>75</v>
      </c>
      <c r="B2" s="18" t="s">
        <v>70</v>
      </c>
      <c r="C2" s="6" t="s">
        <v>85</v>
      </c>
      <c r="D2" s="9" t="s">
        <v>44</v>
      </c>
      <c r="E2" s="5" t="s">
        <v>84</v>
      </c>
      <c r="F2" s="6" t="s">
        <v>71</v>
      </c>
      <c r="G2" s="6" t="s">
        <v>72</v>
      </c>
      <c r="H2" s="6" t="s">
        <v>82</v>
      </c>
      <c r="I2" s="6" t="s">
        <v>83</v>
      </c>
      <c r="J2" s="6" t="s">
        <v>73</v>
      </c>
      <c r="K2" s="16" t="s">
        <v>74</v>
      </c>
      <c r="L2" s="16" t="s">
        <v>76</v>
      </c>
      <c r="M2" s="16" t="s">
        <v>91</v>
      </c>
      <c r="N2" s="16" t="s">
        <v>92</v>
      </c>
      <c r="O2" s="12" t="s">
        <v>596</v>
      </c>
      <c r="P2" s="14" t="s">
        <v>597</v>
      </c>
      <c r="Q2" s="2" t="s">
        <v>598</v>
      </c>
      <c r="R2" s="8" t="s">
        <v>599</v>
      </c>
      <c r="S2" s="8" t="s">
        <v>600</v>
      </c>
      <c r="T2" s="2" t="s">
        <v>601</v>
      </c>
    </row>
    <row r="3" spans="1:20" ht="15">
      <c r="A3" s="212" t="s">
        <v>556</v>
      </c>
      <c r="B3" s="213">
        <v>43738</v>
      </c>
      <c r="C3" s="212" t="s">
        <v>557</v>
      </c>
      <c r="D3" s="214">
        <v>625</v>
      </c>
      <c r="K3" s="213">
        <v>43754</v>
      </c>
      <c r="M3" s="124">
        <f>+N3</f>
        <v>43753</v>
      </c>
      <c r="N3" s="213">
        <v>43753</v>
      </c>
      <c r="O3" s="97">
        <f>+K3-M3</f>
        <v>1</v>
      </c>
      <c r="P3" s="97">
        <f>+N3-M3</f>
        <v>0</v>
      </c>
      <c r="Q3" s="97">
        <f>+N3-K3</f>
        <v>-1</v>
      </c>
      <c r="R3" s="97"/>
      <c r="S3"/>
      <c r="T3" s="131"/>
    </row>
    <row r="4" spans="1:20" ht="15">
      <c r="A4" s="212" t="s">
        <v>558</v>
      </c>
      <c r="B4" s="213">
        <v>43738</v>
      </c>
      <c r="C4" s="212" t="s">
        <v>559</v>
      </c>
      <c r="D4" s="214">
        <v>38.12</v>
      </c>
      <c r="K4" s="213">
        <v>43754</v>
      </c>
      <c r="M4" s="124">
        <f>+N4</f>
        <v>43768</v>
      </c>
      <c r="N4" s="213">
        <v>43768</v>
      </c>
      <c r="O4" s="97">
        <f aca="true" t="shared" si="0" ref="O4:O30">+K4-M4</f>
        <v>-14</v>
      </c>
      <c r="P4" s="97">
        <f aca="true" t="shared" si="1" ref="P4:P30">+N4-M4</f>
        <v>0</v>
      </c>
      <c r="Q4" s="97">
        <f aca="true" t="shared" si="2" ref="Q4:Q30">+N4-K4</f>
        <v>14</v>
      </c>
      <c r="R4" s="97"/>
      <c r="S4"/>
      <c r="T4" s="131"/>
    </row>
    <row r="5" spans="1:20" ht="15">
      <c r="A5" s="212" t="s">
        <v>560</v>
      </c>
      <c r="B5" s="213">
        <v>43738</v>
      </c>
      <c r="C5" s="212" t="s">
        <v>561</v>
      </c>
      <c r="D5" s="214">
        <v>1185.2</v>
      </c>
      <c r="K5" s="213">
        <v>43754</v>
      </c>
      <c r="M5" s="124">
        <f>+N5</f>
        <v>43767</v>
      </c>
      <c r="N5" s="213">
        <v>43767</v>
      </c>
      <c r="O5" s="97">
        <f t="shared" si="0"/>
        <v>-13</v>
      </c>
      <c r="P5" s="97">
        <f t="shared" si="1"/>
        <v>0</v>
      </c>
      <c r="Q5" s="97">
        <f t="shared" si="2"/>
        <v>13</v>
      </c>
      <c r="R5" s="97"/>
      <c r="S5"/>
      <c r="T5" s="131"/>
    </row>
    <row r="6" spans="1:20" ht="15">
      <c r="A6" s="212" t="s">
        <v>568</v>
      </c>
      <c r="B6" s="213">
        <v>43734</v>
      </c>
      <c r="C6" s="212" t="s">
        <v>569</v>
      </c>
      <c r="D6" s="214">
        <v>4118.84</v>
      </c>
      <c r="K6" s="213">
        <v>43755</v>
      </c>
      <c r="M6" s="124">
        <f>+N6</f>
        <v>43745</v>
      </c>
      <c r="N6" s="213">
        <v>43745</v>
      </c>
      <c r="O6" s="97">
        <f t="shared" si="0"/>
        <v>10</v>
      </c>
      <c r="P6" s="97">
        <f t="shared" si="1"/>
        <v>0</v>
      </c>
      <c r="Q6" s="97">
        <f t="shared" si="2"/>
        <v>-10</v>
      </c>
      <c r="R6" s="97"/>
      <c r="S6"/>
      <c r="T6" s="131"/>
    </row>
    <row r="7" spans="1:20" ht="15">
      <c r="A7" s="212" t="s">
        <v>570</v>
      </c>
      <c r="B7" s="213">
        <v>43723</v>
      </c>
      <c r="C7" s="212" t="s">
        <v>571</v>
      </c>
      <c r="D7" s="214">
        <v>484</v>
      </c>
      <c r="K7" s="213">
        <v>43755</v>
      </c>
      <c r="M7" s="124">
        <f>+N7</f>
        <v>43767</v>
      </c>
      <c r="N7" s="213">
        <v>43767</v>
      </c>
      <c r="O7" s="97">
        <f t="shared" si="0"/>
        <v>-12</v>
      </c>
      <c r="P7" s="97">
        <f t="shared" si="1"/>
        <v>0</v>
      </c>
      <c r="Q7" s="97">
        <f t="shared" si="2"/>
        <v>12</v>
      </c>
      <c r="R7" s="97"/>
      <c r="S7"/>
      <c r="T7" s="131"/>
    </row>
    <row r="8" spans="1:20" ht="15">
      <c r="A8" s="212" t="s">
        <v>572</v>
      </c>
      <c r="B8" s="213">
        <v>43738</v>
      </c>
      <c r="C8" s="212" t="s">
        <v>573</v>
      </c>
      <c r="D8" s="214">
        <v>1045.44</v>
      </c>
      <c r="K8" s="213">
        <v>43755</v>
      </c>
      <c r="M8" s="124">
        <f>+N8</f>
        <v>43767</v>
      </c>
      <c r="N8" s="213">
        <v>43767</v>
      </c>
      <c r="O8" s="97">
        <f t="shared" si="0"/>
        <v>-12</v>
      </c>
      <c r="P8" s="97">
        <f t="shared" si="1"/>
        <v>0</v>
      </c>
      <c r="Q8" s="97">
        <f t="shared" si="2"/>
        <v>12</v>
      </c>
      <c r="R8" s="97"/>
      <c r="S8"/>
      <c r="T8" s="131"/>
    </row>
    <row r="9" spans="1:20" ht="15">
      <c r="A9" s="212" t="s">
        <v>574</v>
      </c>
      <c r="B9" s="213">
        <v>43735</v>
      </c>
      <c r="C9" s="212" t="s">
        <v>575</v>
      </c>
      <c r="D9" s="214">
        <v>2744.64</v>
      </c>
      <c r="K9" s="213">
        <v>43755</v>
      </c>
      <c r="M9" s="124">
        <f>+N9</f>
        <v>43767</v>
      </c>
      <c r="N9" s="213">
        <v>43767</v>
      </c>
      <c r="O9" s="97">
        <f t="shared" si="0"/>
        <v>-12</v>
      </c>
      <c r="P9" s="97">
        <f t="shared" si="1"/>
        <v>0</v>
      </c>
      <c r="Q9" s="97">
        <f t="shared" si="2"/>
        <v>12</v>
      </c>
      <c r="R9" s="97"/>
      <c r="S9"/>
      <c r="T9" s="131"/>
    </row>
    <row r="10" spans="1:20" ht="15">
      <c r="A10" s="212" t="s">
        <v>576</v>
      </c>
      <c r="B10" s="213">
        <v>43734</v>
      </c>
      <c r="C10" s="212" t="s">
        <v>577</v>
      </c>
      <c r="D10" s="214">
        <v>8.15</v>
      </c>
      <c r="K10" s="213">
        <v>43756</v>
      </c>
      <c r="M10" s="124">
        <f>+N10</f>
        <v>43742</v>
      </c>
      <c r="N10" s="213">
        <v>43742</v>
      </c>
      <c r="O10" s="97">
        <f t="shared" si="0"/>
        <v>14</v>
      </c>
      <c r="P10" s="97">
        <f t="shared" si="1"/>
        <v>0</v>
      </c>
      <c r="Q10" s="97">
        <f t="shared" si="2"/>
        <v>-14</v>
      </c>
      <c r="R10" s="97"/>
      <c r="S10"/>
      <c r="T10" s="131"/>
    </row>
    <row r="11" spans="1:20" ht="15">
      <c r="A11" s="212" t="s">
        <v>578</v>
      </c>
      <c r="B11" s="213">
        <v>43726</v>
      </c>
      <c r="C11" s="212" t="s">
        <v>579</v>
      </c>
      <c r="D11" s="214">
        <v>8.93</v>
      </c>
      <c r="K11" s="213">
        <v>43756</v>
      </c>
      <c r="M11" s="124">
        <f>+N11</f>
        <v>43742</v>
      </c>
      <c r="N11" s="213">
        <v>43742</v>
      </c>
      <c r="O11" s="97">
        <f t="shared" si="0"/>
        <v>14</v>
      </c>
      <c r="P11" s="97">
        <f t="shared" si="1"/>
        <v>0</v>
      </c>
      <c r="Q11" s="97">
        <f t="shared" si="2"/>
        <v>-14</v>
      </c>
      <c r="R11" s="97"/>
      <c r="S11"/>
      <c r="T11" s="131"/>
    </row>
    <row r="12" spans="1:20" ht="15">
      <c r="A12" s="212" t="s">
        <v>536</v>
      </c>
      <c r="B12" s="213">
        <v>43728</v>
      </c>
      <c r="C12" s="212" t="s">
        <v>537</v>
      </c>
      <c r="D12" s="214">
        <v>306.43</v>
      </c>
      <c r="K12" s="213">
        <v>43752</v>
      </c>
      <c r="M12" s="124">
        <f>+N12</f>
        <v>43753</v>
      </c>
      <c r="N12" s="213">
        <v>43753</v>
      </c>
      <c r="O12" s="97">
        <f t="shared" si="0"/>
        <v>-1</v>
      </c>
      <c r="P12" s="97">
        <f t="shared" si="1"/>
        <v>0</v>
      </c>
      <c r="Q12" s="97">
        <f t="shared" si="2"/>
        <v>1</v>
      </c>
      <c r="R12" s="97"/>
      <c r="S12"/>
      <c r="T12" s="131"/>
    </row>
    <row r="13" spans="1:20" ht="15">
      <c r="A13" s="212" t="s">
        <v>540</v>
      </c>
      <c r="B13" s="213">
        <v>43738</v>
      </c>
      <c r="C13" s="212" t="s">
        <v>541</v>
      </c>
      <c r="D13" s="214">
        <v>395.67</v>
      </c>
      <c r="K13" s="213">
        <v>43752</v>
      </c>
      <c r="M13" s="124">
        <f>+N13</f>
        <v>43767</v>
      </c>
      <c r="N13" s="213">
        <v>43767</v>
      </c>
      <c r="O13" s="97">
        <f t="shared" si="0"/>
        <v>-15</v>
      </c>
      <c r="P13" s="97">
        <f t="shared" si="1"/>
        <v>0</v>
      </c>
      <c r="Q13" s="97">
        <f t="shared" si="2"/>
        <v>15</v>
      </c>
      <c r="R13" s="97"/>
      <c r="S13"/>
      <c r="T13" s="131"/>
    </row>
    <row r="14" spans="1:20" ht="15">
      <c r="A14" s="212" t="s">
        <v>542</v>
      </c>
      <c r="B14" s="213">
        <v>43738</v>
      </c>
      <c r="C14" s="212" t="s">
        <v>543</v>
      </c>
      <c r="D14" s="214">
        <v>1773.03</v>
      </c>
      <c r="K14" s="213">
        <v>43752</v>
      </c>
      <c r="M14" s="124">
        <f>+N14</f>
        <v>43753</v>
      </c>
      <c r="N14" s="213">
        <v>43753</v>
      </c>
      <c r="O14" s="97">
        <f t="shared" si="0"/>
        <v>-1</v>
      </c>
      <c r="P14" s="97">
        <f t="shared" si="1"/>
        <v>0</v>
      </c>
      <c r="Q14" s="97">
        <f t="shared" si="2"/>
        <v>1</v>
      </c>
      <c r="R14" s="97"/>
      <c r="S14"/>
      <c r="T14" s="131"/>
    </row>
    <row r="15" spans="1:20" ht="15">
      <c r="A15" s="212" t="s">
        <v>548</v>
      </c>
      <c r="B15" s="213">
        <v>43728</v>
      </c>
      <c r="C15" s="212" t="s">
        <v>549</v>
      </c>
      <c r="D15" s="214">
        <v>296.45</v>
      </c>
      <c r="K15" s="213">
        <v>43752</v>
      </c>
      <c r="M15" s="124">
        <f>+N15</f>
        <v>43753</v>
      </c>
      <c r="N15" s="213">
        <v>43753</v>
      </c>
      <c r="O15" s="97">
        <f t="shared" si="0"/>
        <v>-1</v>
      </c>
      <c r="P15" s="97">
        <f t="shared" si="1"/>
        <v>0</v>
      </c>
      <c r="Q15" s="97">
        <f t="shared" si="2"/>
        <v>1</v>
      </c>
      <c r="R15" s="97"/>
      <c r="S15"/>
      <c r="T15" s="131"/>
    </row>
    <row r="16" spans="1:20" ht="15">
      <c r="A16" s="212" t="s">
        <v>550</v>
      </c>
      <c r="B16" s="213">
        <v>43738</v>
      </c>
      <c r="C16" s="212" t="s">
        <v>551</v>
      </c>
      <c r="D16" s="214">
        <v>484</v>
      </c>
      <c r="K16" s="213">
        <v>43752</v>
      </c>
      <c r="M16" s="124">
        <f>+N16</f>
        <v>43753</v>
      </c>
      <c r="N16" s="213">
        <v>43753</v>
      </c>
      <c r="O16" s="97">
        <f t="shared" si="0"/>
        <v>-1</v>
      </c>
      <c r="P16" s="97">
        <f t="shared" si="1"/>
        <v>0</v>
      </c>
      <c r="Q16" s="97">
        <f t="shared" si="2"/>
        <v>1</v>
      </c>
      <c r="R16" s="97"/>
      <c r="S16"/>
      <c r="T16" s="131"/>
    </row>
    <row r="17" spans="1:20" ht="15">
      <c r="A17" s="212" t="s">
        <v>552</v>
      </c>
      <c r="B17" s="213">
        <v>43734</v>
      </c>
      <c r="C17" s="212" t="s">
        <v>553</v>
      </c>
      <c r="D17" s="214">
        <v>658.6</v>
      </c>
      <c r="K17" s="213">
        <v>43754</v>
      </c>
      <c r="M17" s="124">
        <f>+N17</f>
        <v>43764</v>
      </c>
      <c r="N17" s="213">
        <v>43764</v>
      </c>
      <c r="O17" s="97">
        <f t="shared" si="0"/>
        <v>-10</v>
      </c>
      <c r="P17" s="97">
        <f t="shared" si="1"/>
        <v>0</v>
      </c>
      <c r="Q17" s="97">
        <f t="shared" si="2"/>
        <v>10</v>
      </c>
      <c r="R17" s="97"/>
      <c r="S17"/>
      <c r="T17" s="131"/>
    </row>
    <row r="18" spans="1:20" ht="15">
      <c r="A18" s="212" t="s">
        <v>556</v>
      </c>
      <c r="B18" s="213">
        <v>43738</v>
      </c>
      <c r="C18" s="212" t="s">
        <v>557</v>
      </c>
      <c r="D18" s="214">
        <v>625</v>
      </c>
      <c r="K18" s="213">
        <v>43754</v>
      </c>
      <c r="M18" s="124">
        <f>+N18</f>
        <v>43753</v>
      </c>
      <c r="N18" s="213">
        <v>43753</v>
      </c>
      <c r="O18" s="97">
        <f t="shared" si="0"/>
        <v>1</v>
      </c>
      <c r="P18" s="97">
        <f t="shared" si="1"/>
        <v>0</v>
      </c>
      <c r="Q18" s="97">
        <f t="shared" si="2"/>
        <v>-1</v>
      </c>
      <c r="R18" s="97"/>
      <c r="S18"/>
      <c r="T18" s="131"/>
    </row>
    <row r="19" spans="1:20" ht="15">
      <c r="A19" s="212" t="s">
        <v>558</v>
      </c>
      <c r="B19" s="213">
        <v>43738</v>
      </c>
      <c r="C19" s="212" t="s">
        <v>559</v>
      </c>
      <c r="D19" s="214">
        <v>38.12</v>
      </c>
      <c r="K19" s="213">
        <v>43754</v>
      </c>
      <c r="M19" s="124">
        <f>+N19</f>
        <v>43768</v>
      </c>
      <c r="N19" s="213">
        <v>43768</v>
      </c>
      <c r="O19" s="97">
        <f t="shared" si="0"/>
        <v>-14</v>
      </c>
      <c r="P19" s="97">
        <f t="shared" si="1"/>
        <v>0</v>
      </c>
      <c r="Q19" s="97">
        <f t="shared" si="2"/>
        <v>14</v>
      </c>
      <c r="R19" s="97"/>
      <c r="S19"/>
      <c r="T19" s="131"/>
    </row>
    <row r="20" spans="1:20" ht="15">
      <c r="A20" s="212" t="s">
        <v>560</v>
      </c>
      <c r="B20" s="213">
        <v>43738</v>
      </c>
      <c r="C20" s="212" t="s">
        <v>561</v>
      </c>
      <c r="D20" s="214">
        <v>1185.2</v>
      </c>
      <c r="K20" s="213">
        <v>43754</v>
      </c>
      <c r="M20" s="124">
        <f>+N20</f>
        <v>43767</v>
      </c>
      <c r="N20" s="213">
        <v>43767</v>
      </c>
      <c r="O20" s="97">
        <f t="shared" si="0"/>
        <v>-13</v>
      </c>
      <c r="P20" s="97">
        <f t="shared" si="1"/>
        <v>0</v>
      </c>
      <c r="Q20" s="97">
        <f t="shared" si="2"/>
        <v>13</v>
      </c>
      <c r="R20" s="97"/>
      <c r="S20"/>
      <c r="T20" s="131"/>
    </row>
    <row r="21" spans="1:20" ht="15">
      <c r="A21" s="212" t="s">
        <v>568</v>
      </c>
      <c r="B21" s="213">
        <v>43734</v>
      </c>
      <c r="C21" s="212" t="s">
        <v>569</v>
      </c>
      <c r="D21" s="214">
        <v>4118.84</v>
      </c>
      <c r="K21" s="213">
        <v>43755</v>
      </c>
      <c r="M21" s="124">
        <f>+N21</f>
        <v>43745</v>
      </c>
      <c r="N21" s="213">
        <v>43745</v>
      </c>
      <c r="O21" s="97">
        <f t="shared" si="0"/>
        <v>10</v>
      </c>
      <c r="P21" s="97">
        <f t="shared" si="1"/>
        <v>0</v>
      </c>
      <c r="Q21" s="97">
        <f t="shared" si="2"/>
        <v>-10</v>
      </c>
      <c r="R21" s="97"/>
      <c r="S21"/>
      <c r="T21" s="131"/>
    </row>
    <row r="22" spans="1:20" ht="15">
      <c r="A22" s="212" t="s">
        <v>570</v>
      </c>
      <c r="B22" s="213">
        <v>43723</v>
      </c>
      <c r="C22" s="212" t="s">
        <v>571</v>
      </c>
      <c r="D22" s="214">
        <v>484</v>
      </c>
      <c r="K22" s="213">
        <v>43755</v>
      </c>
      <c r="M22" s="124">
        <f>+N22</f>
        <v>43767</v>
      </c>
      <c r="N22" s="213">
        <v>43767</v>
      </c>
      <c r="O22" s="97">
        <f t="shared" si="0"/>
        <v>-12</v>
      </c>
      <c r="P22" s="97">
        <f t="shared" si="1"/>
        <v>0</v>
      </c>
      <c r="Q22" s="97">
        <f t="shared" si="2"/>
        <v>12</v>
      </c>
      <c r="R22" s="97"/>
      <c r="S22"/>
      <c r="T22" s="131"/>
    </row>
    <row r="23" spans="1:20" ht="15">
      <c r="A23" s="212" t="s">
        <v>572</v>
      </c>
      <c r="B23" s="213">
        <v>43738</v>
      </c>
      <c r="C23" s="212" t="s">
        <v>573</v>
      </c>
      <c r="D23" s="214">
        <v>1045.44</v>
      </c>
      <c r="K23" s="213">
        <v>43755</v>
      </c>
      <c r="M23" s="124">
        <f>+N23</f>
        <v>43767</v>
      </c>
      <c r="N23" s="213">
        <v>43767</v>
      </c>
      <c r="O23" s="97">
        <f t="shared" si="0"/>
        <v>-12</v>
      </c>
      <c r="P23" s="97">
        <f t="shared" si="1"/>
        <v>0</v>
      </c>
      <c r="Q23" s="97">
        <f t="shared" si="2"/>
        <v>12</v>
      </c>
      <c r="R23" s="97"/>
      <c r="S23"/>
      <c r="T23" s="131"/>
    </row>
    <row r="24" spans="1:20" ht="15">
      <c r="A24" s="212" t="s">
        <v>574</v>
      </c>
      <c r="B24" s="213">
        <v>43735</v>
      </c>
      <c r="C24" s="212" t="s">
        <v>575</v>
      </c>
      <c r="D24" s="214">
        <v>2744.64</v>
      </c>
      <c r="K24" s="213">
        <v>43755</v>
      </c>
      <c r="M24" s="124">
        <f>+N24</f>
        <v>43767</v>
      </c>
      <c r="N24" s="213">
        <v>43767</v>
      </c>
      <c r="O24" s="97">
        <f t="shared" si="0"/>
        <v>-12</v>
      </c>
      <c r="P24" s="97">
        <f t="shared" si="1"/>
        <v>0</v>
      </c>
      <c r="Q24" s="97">
        <f t="shared" si="2"/>
        <v>12</v>
      </c>
      <c r="R24" s="97"/>
      <c r="S24"/>
      <c r="T24" s="131"/>
    </row>
    <row r="25" spans="1:20" ht="15">
      <c r="A25" s="212" t="s">
        <v>576</v>
      </c>
      <c r="B25" s="213">
        <v>43734</v>
      </c>
      <c r="C25" s="212" t="s">
        <v>577</v>
      </c>
      <c r="D25" s="214">
        <v>8.15</v>
      </c>
      <c r="K25" s="213">
        <v>43756</v>
      </c>
      <c r="M25" s="124">
        <f>+N25</f>
        <v>43742</v>
      </c>
      <c r="N25" s="213">
        <v>43742</v>
      </c>
      <c r="O25" s="97">
        <f t="shared" si="0"/>
        <v>14</v>
      </c>
      <c r="P25" s="97">
        <f t="shared" si="1"/>
        <v>0</v>
      </c>
      <c r="Q25" s="97">
        <f t="shared" si="2"/>
        <v>-14</v>
      </c>
      <c r="R25" s="97"/>
      <c r="S25"/>
      <c r="T25" s="131"/>
    </row>
    <row r="26" spans="1:20" ht="15">
      <c r="A26" s="212" t="s">
        <v>578</v>
      </c>
      <c r="B26" s="213">
        <v>43726</v>
      </c>
      <c r="C26" s="212" t="s">
        <v>579</v>
      </c>
      <c r="D26" s="214">
        <v>8.93</v>
      </c>
      <c r="K26" s="213">
        <v>43756</v>
      </c>
      <c r="M26" s="124">
        <f>+N26</f>
        <v>43742</v>
      </c>
      <c r="N26" s="213">
        <v>43742</v>
      </c>
      <c r="O26" s="97">
        <f t="shared" si="0"/>
        <v>14</v>
      </c>
      <c r="P26" s="97">
        <f t="shared" si="1"/>
        <v>0</v>
      </c>
      <c r="Q26" s="97">
        <f t="shared" si="2"/>
        <v>-14</v>
      </c>
      <c r="R26" s="97"/>
      <c r="S26"/>
      <c r="T26" s="131"/>
    </row>
    <row r="27" spans="1:20" ht="15">
      <c r="A27" s="212" t="s">
        <v>586</v>
      </c>
      <c r="B27" s="213">
        <v>43738</v>
      </c>
      <c r="C27" s="212" t="s">
        <v>587</v>
      </c>
      <c r="D27" s="214">
        <v>110.73</v>
      </c>
      <c r="K27" s="213">
        <v>43756</v>
      </c>
      <c r="M27" s="124">
        <f>+N27</f>
        <v>43768</v>
      </c>
      <c r="N27" s="213">
        <v>43768</v>
      </c>
      <c r="O27" s="97">
        <f t="shared" si="0"/>
        <v>-12</v>
      </c>
      <c r="P27" s="97">
        <f t="shared" si="1"/>
        <v>0</v>
      </c>
      <c r="Q27" s="97">
        <f t="shared" si="2"/>
        <v>12</v>
      </c>
      <c r="R27" s="97"/>
      <c r="S27"/>
      <c r="T27" s="131"/>
    </row>
    <row r="28" spans="1:20" ht="15">
      <c r="A28" s="212" t="s">
        <v>588</v>
      </c>
      <c r="B28" s="213">
        <v>43738</v>
      </c>
      <c r="C28" s="212" t="s">
        <v>589</v>
      </c>
      <c r="D28" s="214">
        <v>379.94</v>
      </c>
      <c r="K28" s="213">
        <v>43756</v>
      </c>
      <c r="M28" s="124">
        <f>+N28</f>
        <v>43739</v>
      </c>
      <c r="N28" s="213">
        <v>43739</v>
      </c>
      <c r="O28" s="97">
        <f t="shared" si="0"/>
        <v>17</v>
      </c>
      <c r="P28" s="97">
        <f t="shared" si="1"/>
        <v>0</v>
      </c>
      <c r="Q28" s="97">
        <f t="shared" si="2"/>
        <v>-17</v>
      </c>
      <c r="R28" s="97"/>
      <c r="S28"/>
      <c r="T28" s="131"/>
    </row>
    <row r="29" spans="1:20" ht="15">
      <c r="A29" s="212" t="s">
        <v>590</v>
      </c>
      <c r="B29" s="213">
        <v>43735</v>
      </c>
      <c r="C29" s="212" t="s">
        <v>591</v>
      </c>
      <c r="D29" s="214">
        <v>5372.4</v>
      </c>
      <c r="K29" s="213">
        <v>43759</v>
      </c>
      <c r="M29" s="124">
        <f>+N29</f>
        <v>43767</v>
      </c>
      <c r="N29" s="213">
        <v>43767</v>
      </c>
      <c r="O29" s="97">
        <f t="shared" si="0"/>
        <v>-8</v>
      </c>
      <c r="P29" s="97">
        <f t="shared" si="1"/>
        <v>0</v>
      </c>
      <c r="Q29" s="97">
        <f t="shared" si="2"/>
        <v>8</v>
      </c>
      <c r="R29" s="97"/>
      <c r="S29"/>
      <c r="T29" s="131"/>
    </row>
    <row r="30" spans="1:20" ht="15">
      <c r="A30" s="212" t="s">
        <v>594</v>
      </c>
      <c r="B30" s="213">
        <v>43735</v>
      </c>
      <c r="C30" s="212" t="s">
        <v>595</v>
      </c>
      <c r="D30" s="214">
        <v>681.23</v>
      </c>
      <c r="K30" s="213">
        <v>43759</v>
      </c>
      <c r="M30" s="124">
        <f>+N30</f>
        <v>43767</v>
      </c>
      <c r="N30" s="213">
        <v>43767</v>
      </c>
      <c r="O30" s="97">
        <f t="shared" si="0"/>
        <v>-8</v>
      </c>
      <c r="P30" s="97">
        <f t="shared" si="1"/>
        <v>0</v>
      </c>
      <c r="Q30" s="97">
        <f t="shared" si="2"/>
        <v>8</v>
      </c>
      <c r="R30" s="97"/>
      <c r="S30"/>
      <c r="T30" s="131"/>
    </row>
    <row r="31" spans="1:22" ht="15">
      <c r="A31" s="212" t="s">
        <v>470</v>
      </c>
      <c r="B31" s="213">
        <v>43738</v>
      </c>
      <c r="C31" s="212" t="s">
        <v>471</v>
      </c>
      <c r="D31" s="214">
        <v>792</v>
      </c>
      <c r="K31" s="213">
        <v>43745</v>
      </c>
      <c r="M31" s="124">
        <f>+N31</f>
        <v>43753</v>
      </c>
      <c r="N31" s="213">
        <v>43753</v>
      </c>
      <c r="O31" s="97">
        <f>+K31-M31</f>
        <v>-8</v>
      </c>
      <c r="P31" s="97">
        <f>+N31-M31</f>
        <v>0</v>
      </c>
      <c r="Q31" s="97">
        <f>+N31-K31</f>
        <v>8</v>
      </c>
      <c r="R31" s="97">
        <f>+Q31-30</f>
        <v>-22</v>
      </c>
      <c r="S31">
        <v>20</v>
      </c>
      <c r="T31" s="131">
        <f>+P31*D31</f>
        <v>0</v>
      </c>
      <c r="U31" s="131">
        <f>+R31*D31</f>
        <v>-17424</v>
      </c>
      <c r="V31" s="118">
        <f>IF(xehet2!P27&gt;30,200+xehet2!S27,100+xehet2!S27)</f>
        <v>129</v>
      </c>
    </row>
    <row r="32" spans="1:22" ht="15">
      <c r="A32" s="212" t="s">
        <v>472</v>
      </c>
      <c r="B32" s="213">
        <v>43738</v>
      </c>
      <c r="C32" s="212" t="s">
        <v>473</v>
      </c>
      <c r="D32" s="214">
        <v>3168</v>
      </c>
      <c r="K32" s="213">
        <v>43745</v>
      </c>
      <c r="M32" s="124">
        <f>+N32</f>
        <v>43753</v>
      </c>
      <c r="N32" s="213">
        <v>43753</v>
      </c>
      <c r="O32" s="97">
        <f>+K32-M32</f>
        <v>-8</v>
      </c>
      <c r="P32" s="97">
        <f>+N32-M32</f>
        <v>0</v>
      </c>
      <c r="Q32" s="97">
        <f>+N32-K32</f>
        <v>8</v>
      </c>
      <c r="R32" s="97">
        <f>+Q32-30</f>
        <v>-22</v>
      </c>
      <c r="S32">
        <v>22</v>
      </c>
      <c r="T32" s="131">
        <f>+P32*D32</f>
        <v>0</v>
      </c>
      <c r="U32" s="131">
        <f>+R32*D32</f>
        <v>-69696</v>
      </c>
      <c r="V32" s="118">
        <f>IF(P31&gt;30,200+S31,100+S31)</f>
        <v>120</v>
      </c>
    </row>
    <row r="33" spans="1:22" ht="15">
      <c r="A33" s="212" t="s">
        <v>474</v>
      </c>
      <c r="B33" s="213">
        <v>43738</v>
      </c>
      <c r="C33" s="212" t="s">
        <v>475</v>
      </c>
      <c r="D33" s="214">
        <v>2032.8</v>
      </c>
      <c r="K33" s="213">
        <v>43745</v>
      </c>
      <c r="M33" s="124">
        <f>+N33</f>
        <v>43753</v>
      </c>
      <c r="N33" s="213">
        <v>43753</v>
      </c>
      <c r="O33" s="97">
        <f>+K33-M33</f>
        <v>-8</v>
      </c>
      <c r="P33" s="97">
        <f>+N33-M33</f>
        <v>0</v>
      </c>
      <c r="Q33" s="97">
        <f>+N33-K33</f>
        <v>8</v>
      </c>
      <c r="R33" s="97">
        <f>+Q33-30</f>
        <v>-22</v>
      </c>
      <c r="S33">
        <v>29</v>
      </c>
      <c r="T33" s="131">
        <f>+P33*D33</f>
        <v>0</v>
      </c>
      <c r="U33" s="131">
        <f>+R33*D33</f>
        <v>-44721.6</v>
      </c>
      <c r="V33" s="118">
        <f>IF(P32&gt;30,200+S32,100+S32)</f>
        <v>122</v>
      </c>
    </row>
    <row r="34" spans="1:22" ht="15">
      <c r="A34" s="212" t="s">
        <v>500</v>
      </c>
      <c r="B34" s="213">
        <v>43738</v>
      </c>
      <c r="C34" s="212" t="s">
        <v>501</v>
      </c>
      <c r="D34" s="214">
        <v>464.86</v>
      </c>
      <c r="K34" s="213">
        <v>43749</v>
      </c>
      <c r="M34" s="124">
        <f>+N34</f>
        <v>43753</v>
      </c>
      <c r="N34" s="213">
        <v>43753</v>
      </c>
      <c r="O34" s="97">
        <f>+K34-M34</f>
        <v>-4</v>
      </c>
      <c r="P34" s="97">
        <f>+N34-M34</f>
        <v>0</v>
      </c>
      <c r="Q34" s="97">
        <f>+N34-K34</f>
        <v>4</v>
      </c>
      <c r="R34" s="97">
        <f>+Q34-30</f>
        <v>-26</v>
      </c>
      <c r="S34">
        <v>29</v>
      </c>
      <c r="T34" s="131">
        <f>+P34*D34</f>
        <v>0</v>
      </c>
      <c r="U34" s="131">
        <f>+R34*D34</f>
        <v>-12086.36</v>
      </c>
      <c r="V34" s="118">
        <f>IF(xehet2!P28&gt;30,200+xehet2!S28,100+xehet2!S28)</f>
        <v>129</v>
      </c>
    </row>
    <row r="35" spans="1:22" ht="15">
      <c r="A35" s="212" t="s">
        <v>506</v>
      </c>
      <c r="B35" s="213">
        <v>43738</v>
      </c>
      <c r="C35" s="212" t="s">
        <v>507</v>
      </c>
      <c r="D35" s="214">
        <v>158.13</v>
      </c>
      <c r="K35" s="213">
        <v>43749</v>
      </c>
      <c r="M35" s="124">
        <f>+N35</f>
        <v>43753</v>
      </c>
      <c r="N35" s="213">
        <v>43753</v>
      </c>
      <c r="O35" s="97">
        <f>+K35-M35</f>
        <v>-4</v>
      </c>
      <c r="P35" s="97">
        <f>+N35-M35</f>
        <v>0</v>
      </c>
      <c r="Q35" s="97">
        <f>+N35-K35</f>
        <v>4</v>
      </c>
      <c r="R35" s="97">
        <f>+Q35-30</f>
        <v>-26</v>
      </c>
      <c r="S35">
        <v>21</v>
      </c>
      <c r="T35" s="131">
        <f>+P35*D35</f>
        <v>0</v>
      </c>
      <c r="U35" s="131">
        <f>+R35*D35</f>
        <v>-4111.38</v>
      </c>
      <c r="V35" s="118">
        <f>IF(xehet1!P178&gt;30,200+xehet1!S178,100+xehet1!S178)</f>
        <v>129</v>
      </c>
    </row>
    <row r="36" spans="1:22" ht="15">
      <c r="A36" s="212" t="s">
        <v>508</v>
      </c>
      <c r="B36" s="213">
        <v>43734</v>
      </c>
      <c r="C36" s="212" t="s">
        <v>509</v>
      </c>
      <c r="D36" s="214">
        <v>0.9</v>
      </c>
      <c r="K36" s="213">
        <v>43749</v>
      </c>
      <c r="M36" s="124">
        <f>+N36</f>
        <v>43742</v>
      </c>
      <c r="N36" s="213">
        <v>43742</v>
      </c>
      <c r="O36" s="97">
        <f>+K36-M36</f>
        <v>7</v>
      </c>
      <c r="P36" s="97">
        <f>+N36-M36</f>
        <v>0</v>
      </c>
      <c r="Q36" s="97">
        <f>+N36-K36</f>
        <v>-7</v>
      </c>
      <c r="R36" s="97">
        <f>+Q36-30</f>
        <v>-37</v>
      </c>
      <c r="S36">
        <v>29</v>
      </c>
      <c r="T36" s="131">
        <f>+P36*D36</f>
        <v>0</v>
      </c>
      <c r="U36" s="131">
        <f>+R36*D36</f>
        <v>-33.300000000000004</v>
      </c>
      <c r="V36" s="118">
        <f>IF(P35&gt;30,200+S35,100+S35)</f>
        <v>121</v>
      </c>
    </row>
    <row r="37" spans="1:22" ht="15">
      <c r="A37" s="212" t="s">
        <v>532</v>
      </c>
      <c r="B37" s="213">
        <v>43726</v>
      </c>
      <c r="C37" s="212" t="s">
        <v>533</v>
      </c>
      <c r="D37" s="214">
        <v>30</v>
      </c>
      <c r="K37" s="213">
        <v>43752</v>
      </c>
      <c r="M37" s="124">
        <f>+N37</f>
        <v>43753</v>
      </c>
      <c r="N37" s="213">
        <v>43753</v>
      </c>
      <c r="O37" s="97">
        <f>+K37-M37</f>
        <v>-1</v>
      </c>
      <c r="P37" s="97">
        <f>+N37-M37</f>
        <v>0</v>
      </c>
      <c r="Q37" s="97">
        <f>+N37-K37</f>
        <v>1</v>
      </c>
      <c r="R37" s="97">
        <f>+Q37-30</f>
        <v>-29</v>
      </c>
      <c r="S37">
        <v>29</v>
      </c>
      <c r="T37" s="131">
        <f>+P37*D37</f>
        <v>0</v>
      </c>
      <c r="U37" s="131">
        <f>+R37*D37</f>
        <v>-870</v>
      </c>
      <c r="V37" s="118">
        <f>IF(xehet2!P35&gt;30,200+xehet2!S35,100+xehet2!S35)</f>
        <v>129</v>
      </c>
    </row>
    <row r="38" spans="1:20" ht="15">
      <c r="A38" s="125"/>
      <c r="B38" s="126"/>
      <c r="C38" s="127"/>
      <c r="D38" s="128"/>
      <c r="F38" s="121"/>
      <c r="K38" s="129"/>
      <c r="M38" s="124"/>
      <c r="N38" s="130"/>
      <c r="O38" s="97"/>
      <c r="P38" s="97"/>
      <c r="Q38" s="97"/>
      <c r="R38" s="97"/>
      <c r="S38" s="2"/>
      <c r="T38" s="131"/>
    </row>
    <row r="39" spans="1:20" ht="15">
      <c r="A39" s="125"/>
      <c r="B39" s="126"/>
      <c r="C39" s="127"/>
      <c r="D39" s="128"/>
      <c r="F39" s="121"/>
      <c r="K39" s="129"/>
      <c r="M39" s="124"/>
      <c r="N39" s="130"/>
      <c r="O39" s="97"/>
      <c r="P39" s="97"/>
      <c r="Q39" s="97"/>
      <c r="R39" s="97"/>
      <c r="S39" s="2"/>
      <c r="T39" s="131"/>
    </row>
    <row r="40" spans="1:20" ht="15">
      <c r="A40" s="125"/>
      <c r="B40" s="126"/>
      <c r="C40" s="127"/>
      <c r="D40" s="128"/>
      <c r="F40" s="121"/>
      <c r="K40" s="129"/>
      <c r="M40" s="124"/>
      <c r="N40" s="130"/>
      <c r="O40" s="97"/>
      <c r="P40" s="97"/>
      <c r="Q40" s="97"/>
      <c r="R40" s="97"/>
      <c r="S40" s="2"/>
      <c r="T40" s="131"/>
    </row>
    <row r="41" spans="1:20" ht="15">
      <c r="A41" s="125"/>
      <c r="B41" s="126"/>
      <c r="C41" s="127"/>
      <c r="D41" s="128"/>
      <c r="F41" s="121"/>
      <c r="K41" s="129"/>
      <c r="M41" s="124"/>
      <c r="N41" s="122"/>
      <c r="O41" s="97"/>
      <c r="P41" s="97"/>
      <c r="Q41" s="97"/>
      <c r="R41" s="97"/>
      <c r="S41" s="2"/>
      <c r="T41" s="131"/>
    </row>
    <row r="42" spans="1:20" ht="15">
      <c r="A42" s="121"/>
      <c r="B42" s="122"/>
      <c r="C42" s="121"/>
      <c r="D42" s="123"/>
      <c r="F42" s="121"/>
      <c r="K42" s="122"/>
      <c r="M42" s="124"/>
      <c r="N42" s="122"/>
      <c r="Q42" s="10"/>
      <c r="R42" s="10"/>
      <c r="S42" s="2"/>
      <c r="T42" s="8"/>
    </row>
    <row r="43" spans="1:20" ht="15">
      <c r="A43" s="121"/>
      <c r="B43" s="122"/>
      <c r="C43" s="121"/>
      <c r="D43" s="123"/>
      <c r="F43" s="121"/>
      <c r="K43" s="122"/>
      <c r="M43" s="124"/>
      <c r="N43" s="122"/>
      <c r="Q43" s="10"/>
      <c r="R43" s="10"/>
      <c r="S43" s="2"/>
      <c r="T43" s="8"/>
    </row>
    <row r="44" spans="1:20" ht="15">
      <c r="A44" s="121"/>
      <c r="B44" s="122"/>
      <c r="C44" s="121"/>
      <c r="D44" s="123"/>
      <c r="F44" s="121"/>
      <c r="K44" s="122"/>
      <c r="M44" s="124"/>
      <c r="N44" s="122"/>
      <c r="Q44" s="10"/>
      <c r="R44" s="10"/>
      <c r="S44" s="2"/>
      <c r="T44" s="8"/>
    </row>
    <row r="45" spans="1:20" ht="15">
      <c r="A45" s="121"/>
      <c r="B45" s="122"/>
      <c r="C45" s="121"/>
      <c r="D45" s="123"/>
      <c r="F45" s="121"/>
      <c r="K45" s="122"/>
      <c r="M45" s="124"/>
      <c r="N45" s="122"/>
      <c r="Q45" s="10"/>
      <c r="R45" s="10"/>
      <c r="S45" s="2"/>
      <c r="T45" s="8"/>
    </row>
    <row r="46" spans="1:20" ht="15">
      <c r="A46" s="121"/>
      <c r="B46" s="122"/>
      <c r="C46" s="121"/>
      <c r="D46" s="123"/>
      <c r="F46" s="121"/>
      <c r="K46" s="122"/>
      <c r="M46" s="124"/>
      <c r="N46" s="122"/>
      <c r="Q46" s="10"/>
      <c r="R46" s="10"/>
      <c r="S46" s="2"/>
      <c r="T46" s="8"/>
    </row>
    <row r="47" spans="1:20" ht="15">
      <c r="A47" s="121"/>
      <c r="B47" s="122"/>
      <c r="C47" s="121"/>
      <c r="D47" s="123"/>
      <c r="F47" s="121"/>
      <c r="K47" s="122"/>
      <c r="M47" s="124"/>
      <c r="N47" s="122"/>
      <c r="Q47" s="10"/>
      <c r="R47" s="10"/>
      <c r="S47" s="2"/>
      <c r="T47" s="8"/>
    </row>
    <row r="48" spans="1:20" ht="15">
      <c r="A48" s="121"/>
      <c r="B48" s="122"/>
      <c r="C48" s="121"/>
      <c r="D48" s="123"/>
      <c r="F48" s="121"/>
      <c r="K48" s="122"/>
      <c r="M48" s="124"/>
      <c r="N48" s="122"/>
      <c r="Q48" s="10"/>
      <c r="R48" s="10"/>
      <c r="S48" s="2"/>
      <c r="T48" s="8"/>
    </row>
    <row r="49" spans="1:20" ht="15">
      <c r="A49" s="121"/>
      <c r="B49" s="122"/>
      <c r="C49" s="121"/>
      <c r="D49" s="123"/>
      <c r="F49" s="121"/>
      <c r="K49" s="122"/>
      <c r="M49" s="124"/>
      <c r="N49" s="122"/>
      <c r="Q49" s="10"/>
      <c r="R49" s="10"/>
      <c r="S49" s="2"/>
      <c r="T49" s="8"/>
    </row>
    <row r="50" spans="1:20" ht="15">
      <c r="A50" s="121"/>
      <c r="B50" s="122"/>
      <c r="C50" s="121"/>
      <c r="D50" s="123"/>
      <c r="F50" s="121"/>
      <c r="K50" s="122"/>
      <c r="M50" s="124"/>
      <c r="N50" s="122"/>
      <c r="Q50" s="10"/>
      <c r="R50" s="10"/>
      <c r="S50" s="2"/>
      <c r="T50" s="8"/>
    </row>
    <row r="51" spans="1:20" ht="15">
      <c r="A51" s="121"/>
      <c r="B51" s="122"/>
      <c r="C51" s="121"/>
      <c r="D51" s="123"/>
      <c r="F51" s="121"/>
      <c r="K51" s="122"/>
      <c r="M51" s="124"/>
      <c r="N51" s="122"/>
      <c r="Q51" s="10"/>
      <c r="R51" s="10"/>
      <c r="S51" s="2"/>
      <c r="T51" s="8"/>
    </row>
    <row r="52" spans="1:20" ht="15">
      <c r="A52" s="121"/>
      <c r="B52" s="122"/>
      <c r="C52" s="121"/>
      <c r="D52" s="123"/>
      <c r="F52" s="121"/>
      <c r="K52" s="122"/>
      <c r="M52" s="124"/>
      <c r="N52" s="122"/>
      <c r="Q52" s="10"/>
      <c r="R52" s="10"/>
      <c r="S52" s="2"/>
      <c r="T52" s="8"/>
    </row>
    <row r="53" spans="1:20" ht="15">
      <c r="A53" s="121"/>
      <c r="B53" s="122"/>
      <c r="C53" s="121"/>
      <c r="D53" s="123"/>
      <c r="F53" s="121"/>
      <c r="K53" s="122"/>
      <c r="M53" s="124"/>
      <c r="N53" s="122"/>
      <c r="Q53" s="10"/>
      <c r="R53" s="10"/>
      <c r="S53" s="2"/>
      <c r="T53" s="8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2019-07-18T10:03:00Z</cp:lastPrinted>
  <dcterms:created xsi:type="dcterms:W3CDTF">2013-12-21T08:23:27Z</dcterms:created>
  <dcterms:modified xsi:type="dcterms:W3CDTF">2019-10-22T08:39:16Z</dcterms:modified>
  <cp:category/>
  <cp:version/>
  <cp:contentType/>
  <cp:contentStatus/>
</cp:coreProperties>
</file>