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0"/>
  </bookViews>
  <sheets>
    <sheet name="TXOSTENA" sheetId="1" r:id="rId1"/>
    <sheet name="xehet1" sheetId="2" r:id="rId2"/>
    <sheet name="xehet2" sheetId="3" r:id="rId3"/>
    <sheet name="xehet32" sheetId="4" r:id="rId4"/>
  </sheets>
  <definedNames>
    <definedName name="_xlnm.Print_Area" localSheetId="1">'xehet1'!$A$3:$R$110</definedName>
    <definedName name="_xlnm.Print_Area" localSheetId="2">'xehet2'!$A$1:$R$21</definedName>
    <definedName name="_xlnm.Print_Area" localSheetId="3">'xehet32'!$A$3:$P$10</definedName>
  </definedNames>
  <calcPr fullCalcOnLoad="1"/>
</workbook>
</file>

<file path=xl/sharedStrings.xml><?xml version="1.0" encoding="utf-8"?>
<sst xmlns="http://schemas.openxmlformats.org/spreadsheetml/2006/main" count="687" uniqueCount="606">
  <si>
    <t>20 -</t>
  </si>
  <si>
    <t>21 -</t>
  </si>
  <si>
    <t>22 -</t>
  </si>
  <si>
    <t>23 -</t>
  </si>
  <si>
    <t>Toki entitatea:</t>
  </si>
  <si>
    <t>Ekitaldia:</t>
  </si>
  <si>
    <t>Hiruhilekoa:</t>
  </si>
  <si>
    <t>Errentamenduak eta kanonak</t>
  </si>
  <si>
    <t>Materiala, hornidura eta beste batzuk</t>
  </si>
  <si>
    <t>Kalte-ordaina zerbitzuagatik</t>
  </si>
  <si>
    <t>Inbertsio errealak</t>
  </si>
  <si>
    <t>Guztira</t>
  </si>
  <si>
    <t>Ordainketa kopurua</t>
  </si>
  <si>
    <t>Zenbateko osoa</t>
  </si>
  <si>
    <t>Hiruhilekoan egindako ordainketak</t>
  </si>
  <si>
    <t>Eragiketa kopurua</t>
  </si>
  <si>
    <t>Hiruhilekoa amaitzean ordaintzeko daudenak</t>
  </si>
  <si>
    <t>Kopurua</t>
  </si>
  <si>
    <t>Gastuak ondasun arruntetan eta zerbitzuetan</t>
  </si>
  <si>
    <t>Konponketa, mantenimendua eta kontserbazioa</t>
  </si>
  <si>
    <t>Aurrekontura aplikatzeko daudenak</t>
  </si>
  <si>
    <t>ORDAINKETA EPEAREN INFORMAZIOA</t>
  </si>
  <si>
    <t>Hiruhileko ordainketak</t>
  </si>
  <si>
    <t>Bestelakoak</t>
  </si>
  <si>
    <t>2X -</t>
  </si>
  <si>
    <t>Aurrekontura aplikatzeko dauden ordainketak</t>
  </si>
  <si>
    <t>6X -</t>
  </si>
  <si>
    <t xml:space="preserve"> Inbertsio errealak </t>
  </si>
  <si>
    <t>1. Hiruhilekoan egindako ordainketak. Ordainketa epea obligazioa onartu zenetik hasita.</t>
  </si>
  <si>
    <t>1.1. Sailkapen ekonomikoaren arabera</t>
  </si>
  <si>
    <t>1.2. Epearen arabera</t>
  </si>
  <si>
    <t xml:space="preserve">Hiru hilabete ondoren obligazioa onartu gabe duten fakturak eta ordainagiriak </t>
  </si>
  <si>
    <t>Hiruhilekoa amaitzean ordaindu gabe dauden fakturak eta ordainagiriak</t>
  </si>
  <si>
    <t>Ordainketa epea</t>
  </si>
  <si>
    <t>Epez kanpokoena</t>
  </si>
  <si>
    <t>Legezko epearen barruan</t>
  </si>
  <si>
    <t>Legezko epetik kanpo</t>
  </si>
  <si>
    <t>2. Ordaindu gabe gelditu diren fakturak. Epea obligazioa onartu zenetik hasita.</t>
  </si>
  <si>
    <t>3.1. Erregistroan idatzi zirenetik hiru hilabetetik gora daramatenak</t>
  </si>
  <si>
    <t>30 egun edo gutxiago</t>
  </si>
  <si>
    <t>31 eta 60 egun bitartean</t>
  </si>
  <si>
    <t>61 eta 90 egun bitartean</t>
  </si>
  <si>
    <t>90 egun baino gehiago</t>
  </si>
  <si>
    <t>Epea</t>
  </si>
  <si>
    <t>Zenbatekoa</t>
  </si>
  <si>
    <t>Epea
(egunak batez beste)</t>
  </si>
  <si>
    <t>(egunak batez beste)</t>
  </si>
  <si>
    <t>3.2. Erregistroan idatzi zirenetik daramatzaten egunak</t>
  </si>
  <si>
    <t xml:space="preserve">Obligazioa onartu gabe duten fakturak eta ordainagiriak </t>
  </si>
  <si>
    <t>4. Entitatearen ordainketen batez besteko epea (OBBE)</t>
  </si>
  <si>
    <t>OBBE</t>
  </si>
  <si>
    <t>Hiruhilekoaren OBBE</t>
  </si>
  <si>
    <t>Ratioa</t>
  </si>
  <si>
    <t>Ordaindutako eragiketak</t>
  </si>
  <si>
    <t>Ordaindu gabeko eragiketak</t>
  </si>
  <si>
    <t>OBBEari buruzko oharrak:</t>
  </si>
  <si>
    <t>Egun kopurua</t>
  </si>
  <si>
    <t>Egindako ordainketak</t>
  </si>
  <si>
    <t>Faktura kopurua</t>
  </si>
  <si>
    <t>%</t>
  </si>
  <si>
    <t>31etik 40 egunetara</t>
  </si>
  <si>
    <t>41etik 50 egunetara</t>
  </si>
  <si>
    <t>51tik 60 egunetara</t>
  </si>
  <si>
    <t>60 egun baino gehiago</t>
  </si>
  <si>
    <t>3. Hiruhilekoa amaitzean obligazioa onartu gabe duten fakturak eta ordainagiriak</t>
  </si>
  <si>
    <t>Obligaziorik onartu gabeko fakturak</t>
  </si>
  <si>
    <t>Aurrekontuari aplikatu gabeko ordainketak*</t>
  </si>
  <si>
    <t>Aurrekontuari aplikatu gabeko fakturak*</t>
  </si>
  <si>
    <t>* 2. eta 6. kapituluari dagozkion fakturak soilik</t>
  </si>
  <si>
    <t>Hiruhilekoan ordaindutako fakturak</t>
  </si>
  <si>
    <t>Fra data</t>
  </si>
  <si>
    <t>Hirugarrena</t>
  </si>
  <si>
    <t>Azalpena</t>
  </si>
  <si>
    <t>Partida</t>
  </si>
  <si>
    <t>Erregto
 data</t>
  </si>
  <si>
    <t>Espte
 zkia</t>
  </si>
  <si>
    <t>Desz
 Data</t>
  </si>
  <si>
    <t>Epea
 R-O</t>
  </si>
  <si>
    <t>Epea
 O-P</t>
  </si>
  <si>
    <t>Epea
 R-P</t>
  </si>
  <si>
    <t>Hiruhilekoan ordaindu gabe gelditu direnak (O eginda)</t>
  </si>
  <si>
    <t>Hiruhilekoan O egin gabe gelditu direnak</t>
  </si>
  <si>
    <t>Epea
 R-HH buk</t>
  </si>
  <si>
    <t>ADO-17</t>
  </si>
  <si>
    <t>ADO-12</t>
  </si>
  <si>
    <t>Hirugar.
Kodea</t>
  </si>
  <si>
    <t>Fra zkia</t>
  </si>
  <si>
    <t>Epea
 O
 - HH buk</t>
  </si>
  <si>
    <t>Epea
 R 
 - HH buk</t>
  </si>
  <si>
    <t>Konponketak, mantenimendua eta artapena</t>
  </si>
  <si>
    <t>Materiala, hornidurak eta bestelakoak</t>
  </si>
  <si>
    <t>Kalte-ordainak zerbitzuagatik</t>
  </si>
  <si>
    <t>O-ren
 data</t>
  </si>
  <si>
    <t>P-ren
 data</t>
  </si>
  <si>
    <t>Artik</t>
  </si>
  <si>
    <t>ponderazioa 1</t>
  </si>
  <si>
    <t>ponderazioa 2</t>
  </si>
  <si>
    <t>Epean</t>
  </si>
  <si>
    <t>capit</t>
  </si>
  <si>
    <t>epean</t>
  </si>
  <si>
    <t>HH bukaera</t>
  </si>
  <si>
    <t>Hau ez bete</t>
  </si>
  <si>
    <t>hautazkoak</t>
  </si>
  <si>
    <t>betebeharrekoak</t>
  </si>
  <si>
    <t>29 -</t>
  </si>
  <si>
    <t>onarpena</t>
  </si>
  <si>
    <t>ordainketa</t>
  </si>
  <si>
    <t>OARSOALDEA</t>
  </si>
  <si>
    <t>3.hiruhilekoa</t>
  </si>
  <si>
    <t>FCC1700581</t>
  </si>
  <si>
    <t>170233</t>
  </si>
  <si>
    <t>FCC1700582</t>
  </si>
  <si>
    <t>168</t>
  </si>
  <si>
    <t>FCC1700583</t>
  </si>
  <si>
    <t>167</t>
  </si>
  <si>
    <t>FCC1700584</t>
  </si>
  <si>
    <t>166</t>
  </si>
  <si>
    <t>FCC1700585</t>
  </si>
  <si>
    <t>00095</t>
  </si>
  <si>
    <t>FCC1700610</t>
  </si>
  <si>
    <t>FLG AYC55957</t>
  </si>
  <si>
    <t>FCC1700611</t>
  </si>
  <si>
    <t>FLL AYC67682</t>
  </si>
  <si>
    <t>FCC1700612</t>
  </si>
  <si>
    <t>FLG AYC84139</t>
  </si>
  <si>
    <t>FCC1700619</t>
  </si>
  <si>
    <t>99130213</t>
  </si>
  <si>
    <t>FCC1700621</t>
  </si>
  <si>
    <t>1707c0522925</t>
  </si>
  <si>
    <t>FCC1700626</t>
  </si>
  <si>
    <t>67</t>
  </si>
  <si>
    <t>FCC1700628</t>
  </si>
  <si>
    <t>GTS OBRAS JULIO 2017</t>
  </si>
  <si>
    <t>FCC1700632</t>
  </si>
  <si>
    <t>A 23444</t>
  </si>
  <si>
    <t>FCC1700633</t>
  </si>
  <si>
    <t>6/2017</t>
  </si>
  <si>
    <t>FCC1700634</t>
  </si>
  <si>
    <t>1/2017</t>
  </si>
  <si>
    <t>FCC1700636</t>
  </si>
  <si>
    <t>A17220</t>
  </si>
  <si>
    <t>FCC1700637</t>
  </si>
  <si>
    <t>7000101827</t>
  </si>
  <si>
    <t>FCC1700638</t>
  </si>
  <si>
    <t>7000101829</t>
  </si>
  <si>
    <t>FCC1700639</t>
  </si>
  <si>
    <t>7000101603</t>
  </si>
  <si>
    <t>FCC1700640</t>
  </si>
  <si>
    <t>7000101830</t>
  </si>
  <si>
    <t>FCC1700641</t>
  </si>
  <si>
    <t>A1713/2017</t>
  </si>
  <si>
    <t>FCC1700642</t>
  </si>
  <si>
    <t>00002695</t>
  </si>
  <si>
    <t>FCC1700643</t>
  </si>
  <si>
    <t>00002725</t>
  </si>
  <si>
    <t>FCC1700644</t>
  </si>
  <si>
    <t>CS85057</t>
  </si>
  <si>
    <t>FCC1700645</t>
  </si>
  <si>
    <t>00 00000269</t>
  </si>
  <si>
    <t>FCC1700646</t>
  </si>
  <si>
    <t>1310/17</t>
  </si>
  <si>
    <t>FCC1700647</t>
  </si>
  <si>
    <t>1309/17</t>
  </si>
  <si>
    <t>FCC1700648</t>
  </si>
  <si>
    <t>20170342</t>
  </si>
  <si>
    <t>FCC1700649</t>
  </si>
  <si>
    <t>CS85056</t>
  </si>
  <si>
    <t>FCC1700650</t>
  </si>
  <si>
    <t>17/A-046</t>
  </si>
  <si>
    <t>FCC1700651</t>
  </si>
  <si>
    <t>CH6315</t>
  </si>
  <si>
    <t>FCC1700652</t>
  </si>
  <si>
    <t>B/2058</t>
  </si>
  <si>
    <t>FCC1700655</t>
  </si>
  <si>
    <t>G-13695</t>
  </si>
  <si>
    <t>FCC1700656</t>
  </si>
  <si>
    <t>A/17-00293</t>
  </si>
  <si>
    <t>FCC1700657</t>
  </si>
  <si>
    <t>29/C</t>
  </si>
  <si>
    <t>FCC1700658</t>
  </si>
  <si>
    <t>51/C</t>
  </si>
  <si>
    <t>FCC1700659</t>
  </si>
  <si>
    <t>17-S-1.898</t>
  </si>
  <si>
    <t>FCC1700660</t>
  </si>
  <si>
    <t>2400</t>
  </si>
  <si>
    <t>FCC1700661</t>
  </si>
  <si>
    <t>A17722</t>
  </si>
  <si>
    <t>FCC1700662</t>
  </si>
  <si>
    <t>13/17</t>
  </si>
  <si>
    <t>FCC1700663</t>
  </si>
  <si>
    <t>952/2017</t>
  </si>
  <si>
    <t>FCC1700664</t>
  </si>
  <si>
    <t>SI201712935</t>
  </si>
  <si>
    <t>FCC1700665</t>
  </si>
  <si>
    <t>A/001942</t>
  </si>
  <si>
    <t>FCC1700666</t>
  </si>
  <si>
    <t>7000099418</t>
  </si>
  <si>
    <t>FCC1700669</t>
  </si>
  <si>
    <t>20170728030598462</t>
  </si>
  <si>
    <t>FCC1700670</t>
  </si>
  <si>
    <t>20170728030598463</t>
  </si>
  <si>
    <t>FCC1700671</t>
  </si>
  <si>
    <t>20170728030598464</t>
  </si>
  <si>
    <t>FCC1700672</t>
  </si>
  <si>
    <t>20170728030545113</t>
  </si>
  <si>
    <t>FCC1700673</t>
  </si>
  <si>
    <t>20170728030566520</t>
  </si>
  <si>
    <t>FCC1700674</t>
  </si>
  <si>
    <t>20170728030530980</t>
  </si>
  <si>
    <t>FCC1700675</t>
  </si>
  <si>
    <t>20170728030513561</t>
  </si>
  <si>
    <t>FCC1700676</t>
  </si>
  <si>
    <t>17285</t>
  </si>
  <si>
    <t>FCC1700679</t>
  </si>
  <si>
    <t>20170728030531260</t>
  </si>
  <si>
    <t>FCC1700680</t>
  </si>
  <si>
    <t>20/1715865</t>
  </si>
  <si>
    <t>FCC1700681</t>
  </si>
  <si>
    <t>40444470</t>
  </si>
  <si>
    <t>FCC1700682</t>
  </si>
  <si>
    <t>60368265</t>
  </si>
  <si>
    <t>FCC1700683</t>
  </si>
  <si>
    <t>1700877</t>
  </si>
  <si>
    <t>FCC1700684</t>
  </si>
  <si>
    <t>1700891</t>
  </si>
  <si>
    <t>FCC1700685</t>
  </si>
  <si>
    <t>1700900</t>
  </si>
  <si>
    <t>FCC1700686</t>
  </si>
  <si>
    <t>12/2017</t>
  </si>
  <si>
    <t>FCC1700687</t>
  </si>
  <si>
    <t>15/2017</t>
  </si>
  <si>
    <t>FCC1700688</t>
  </si>
  <si>
    <t>2017.647</t>
  </si>
  <si>
    <t>FCC1700689</t>
  </si>
  <si>
    <t>17/A-055</t>
  </si>
  <si>
    <t>FCC1700690</t>
  </si>
  <si>
    <t>433/17</t>
  </si>
  <si>
    <t>FCC1700691</t>
  </si>
  <si>
    <t>1F041917</t>
  </si>
  <si>
    <t>FCC1700695</t>
  </si>
  <si>
    <t>291658187490-6</t>
  </si>
  <si>
    <t>FCC1700696</t>
  </si>
  <si>
    <t>7250131451</t>
  </si>
  <si>
    <t>FCC1700697</t>
  </si>
  <si>
    <t>1708C0510146</t>
  </si>
  <si>
    <t>FCC1700698</t>
  </si>
  <si>
    <t>20170728030512200</t>
  </si>
  <si>
    <t>FCC1700699</t>
  </si>
  <si>
    <t>20170728030512201</t>
  </si>
  <si>
    <t>FCC1700700</t>
  </si>
  <si>
    <t>20170728030512199</t>
  </si>
  <si>
    <t>FCC1700701</t>
  </si>
  <si>
    <t>20170728030577578</t>
  </si>
  <si>
    <t>FCC1700702</t>
  </si>
  <si>
    <t>17258</t>
  </si>
  <si>
    <t>FCC1700703</t>
  </si>
  <si>
    <t>17281</t>
  </si>
  <si>
    <t>FCC1700704</t>
  </si>
  <si>
    <t>201701883</t>
  </si>
  <si>
    <t>FCC1700705</t>
  </si>
  <si>
    <t>173224</t>
  </si>
  <si>
    <t>FCC1700706</t>
  </si>
  <si>
    <t>374775</t>
  </si>
  <si>
    <t>FCC1700707</t>
  </si>
  <si>
    <t>174890</t>
  </si>
  <si>
    <t>FCC1700708</t>
  </si>
  <si>
    <t>172544</t>
  </si>
  <si>
    <t>FCC1700709</t>
  </si>
  <si>
    <t>172308</t>
  </si>
  <si>
    <t>FCC1700710</t>
  </si>
  <si>
    <t>2017/840</t>
  </si>
  <si>
    <t>FCC1700711</t>
  </si>
  <si>
    <t>CH8978</t>
  </si>
  <si>
    <t>FCC1700715</t>
  </si>
  <si>
    <t>256/2017</t>
  </si>
  <si>
    <t>FCC1700716</t>
  </si>
  <si>
    <t>7799</t>
  </si>
  <si>
    <t>FCC1700717</t>
  </si>
  <si>
    <t>GTS OBRAS AGOSTO 2017</t>
  </si>
  <si>
    <t>FCC1700718</t>
  </si>
  <si>
    <t>199</t>
  </si>
  <si>
    <t>FCC1700719</t>
  </si>
  <si>
    <t>17299</t>
  </si>
  <si>
    <t>FCC1700720</t>
  </si>
  <si>
    <t>1332/17</t>
  </si>
  <si>
    <t>FCC1700721</t>
  </si>
  <si>
    <t>1335/17</t>
  </si>
  <si>
    <t>FCC1700722</t>
  </si>
  <si>
    <t>1334/17</t>
  </si>
  <si>
    <t>FCC1700723</t>
  </si>
  <si>
    <t>1333/17</t>
  </si>
  <si>
    <t>FCC1700724</t>
  </si>
  <si>
    <t>A/170511</t>
  </si>
  <si>
    <t>FCC1700725</t>
  </si>
  <si>
    <t>11</t>
  </si>
  <si>
    <t>FCC1700726</t>
  </si>
  <si>
    <t>A23686</t>
  </si>
  <si>
    <t>FCC1700727</t>
  </si>
  <si>
    <t>17-S-2.153</t>
  </si>
  <si>
    <t>FCC1700728</t>
  </si>
  <si>
    <t>1924/17</t>
  </si>
  <si>
    <t>FCC1700729</t>
  </si>
  <si>
    <t>12/17</t>
  </si>
  <si>
    <t>FCC1700730</t>
  </si>
  <si>
    <t>E060</t>
  </si>
  <si>
    <t>FCC1700731</t>
  </si>
  <si>
    <t>136/17</t>
  </si>
  <si>
    <t>FCC1700732</t>
  </si>
  <si>
    <t>1049/2017</t>
  </si>
  <si>
    <t>FCC1700738</t>
  </si>
  <si>
    <t>08-17</t>
  </si>
  <si>
    <t>FCC1700739</t>
  </si>
  <si>
    <t>17.216</t>
  </si>
  <si>
    <t>FCC1700740</t>
  </si>
  <si>
    <t>FCC1700741</t>
  </si>
  <si>
    <t>5131</t>
  </si>
  <si>
    <t>FCC1700742</t>
  </si>
  <si>
    <t>FLL AYD37449</t>
  </si>
  <si>
    <t>FCC1700743</t>
  </si>
  <si>
    <t>FLG AYD28184</t>
  </si>
  <si>
    <t>FCC1700744</t>
  </si>
  <si>
    <t>FLG AYD17772</t>
  </si>
  <si>
    <t>FCC1700745</t>
  </si>
  <si>
    <t>FLL AYD44933</t>
  </si>
  <si>
    <t>FCC1700746</t>
  </si>
  <si>
    <t>FLG AYD53891</t>
  </si>
  <si>
    <t>FCC1700747</t>
  </si>
  <si>
    <t>FLG AYD66869</t>
  </si>
  <si>
    <t>FCC1700748</t>
  </si>
  <si>
    <t>TA5LL0092193</t>
  </si>
  <si>
    <t>FCC1700749</t>
  </si>
  <si>
    <t>TA5LM0080515</t>
  </si>
  <si>
    <t>FCC1700750</t>
  </si>
  <si>
    <t>TA5LN0073911</t>
  </si>
  <si>
    <t>FCC1700751</t>
  </si>
  <si>
    <t>28-G782-173078</t>
  </si>
  <si>
    <t>FCC1700752</t>
  </si>
  <si>
    <t>28-H7M0-046961</t>
  </si>
  <si>
    <t>FCC1700753</t>
  </si>
  <si>
    <t>28-I7M0-043538</t>
  </si>
  <si>
    <t>FCC1700754</t>
  </si>
  <si>
    <t>201707574</t>
  </si>
  <si>
    <t>FCC1700755</t>
  </si>
  <si>
    <t>17325</t>
  </si>
  <si>
    <t>FCC1700756</t>
  </si>
  <si>
    <t>375351</t>
  </si>
  <si>
    <t>FCC1700757</t>
  </si>
  <si>
    <t>CJ8467</t>
  </si>
  <si>
    <t>FCC1700758</t>
  </si>
  <si>
    <t>CK2953</t>
  </si>
  <si>
    <t>FCC1700761</t>
  </si>
  <si>
    <t>170183</t>
  </si>
  <si>
    <t>FCC1700762</t>
  </si>
  <si>
    <t>A/002318</t>
  </si>
  <si>
    <t>FCC1700763</t>
  </si>
  <si>
    <t>20170803030448791</t>
  </si>
  <si>
    <t>FCC1700764</t>
  </si>
  <si>
    <t>20170830030448790</t>
  </si>
  <si>
    <t>FCC1700765</t>
  </si>
  <si>
    <t>20170830030448789</t>
  </si>
  <si>
    <t>FCC1700766</t>
  </si>
  <si>
    <t>20170830030413562</t>
  </si>
  <si>
    <t>FCC1700767</t>
  </si>
  <si>
    <t>2017083003038959</t>
  </si>
  <si>
    <t>FCC1700768</t>
  </si>
  <si>
    <t>20170830030375286</t>
  </si>
  <si>
    <t>FCC1700769</t>
  </si>
  <si>
    <t>20170830030374997</t>
  </si>
  <si>
    <t>FCC1700770</t>
  </si>
  <si>
    <t>20170830030350728</t>
  </si>
  <si>
    <t>FCC1700771</t>
  </si>
  <si>
    <t>201707822</t>
  </si>
  <si>
    <t>FCC1700772</t>
  </si>
  <si>
    <t>GTS OBRAS SEPTIEMBRE 2017</t>
  </si>
  <si>
    <t>FCC1700773</t>
  </si>
  <si>
    <t>A 126</t>
  </si>
  <si>
    <t>FCC1700774</t>
  </si>
  <si>
    <t>A 127</t>
  </si>
  <si>
    <t>FCC1700775</t>
  </si>
  <si>
    <t>A 128</t>
  </si>
  <si>
    <t>FCC1700776</t>
  </si>
  <si>
    <t>A 129</t>
  </si>
  <si>
    <t>FCC1700777</t>
  </si>
  <si>
    <t>438</t>
  </si>
  <si>
    <t>FCC1700779</t>
  </si>
  <si>
    <t>A-20</t>
  </si>
  <si>
    <t>FCC1700780</t>
  </si>
  <si>
    <t>A-18</t>
  </si>
  <si>
    <t>FCC1700781</t>
  </si>
  <si>
    <t>3/170004153</t>
  </si>
  <si>
    <t>FCC1700784</t>
  </si>
  <si>
    <t>B/1532552</t>
  </si>
  <si>
    <t>FCC1700785</t>
  </si>
  <si>
    <t>B/1542846</t>
  </si>
  <si>
    <t>FCC1700786</t>
  </si>
  <si>
    <t>B/1546229</t>
  </si>
  <si>
    <t>FCC1700787</t>
  </si>
  <si>
    <t>20170728030512203</t>
  </si>
  <si>
    <t>FCC1700788</t>
  </si>
  <si>
    <t>20170830030348650</t>
  </si>
  <si>
    <t>FCC1700789</t>
  </si>
  <si>
    <t>2300006259</t>
  </si>
  <si>
    <t>FCC1700790</t>
  </si>
  <si>
    <t>01OIM4S</t>
  </si>
  <si>
    <t>FCC1700791</t>
  </si>
  <si>
    <t>01OIM4T</t>
  </si>
  <si>
    <t>FCC1700792</t>
  </si>
  <si>
    <t>01OIM4U</t>
  </si>
  <si>
    <t>FCC1700793</t>
  </si>
  <si>
    <t>01OIM4V</t>
  </si>
  <si>
    <t>FCC1700794</t>
  </si>
  <si>
    <t>01OSDOC</t>
  </si>
  <si>
    <t>FCC1700795</t>
  </si>
  <si>
    <t>01OSDOD</t>
  </si>
  <si>
    <t>FCC1700796</t>
  </si>
  <si>
    <t>01OSDOE</t>
  </si>
  <si>
    <t>FCC1700797</t>
  </si>
  <si>
    <t>01OSDOF</t>
  </si>
  <si>
    <t>FCC1700798</t>
  </si>
  <si>
    <t>01OIDLW</t>
  </si>
  <si>
    <t>FCC1700799</t>
  </si>
  <si>
    <t>01OS671</t>
  </si>
  <si>
    <t>FCC1700800</t>
  </si>
  <si>
    <t>201707577</t>
  </si>
  <si>
    <t>FCC1700801</t>
  </si>
  <si>
    <t>201707172</t>
  </si>
  <si>
    <t>FCC1700802</t>
  </si>
  <si>
    <t>17/0056</t>
  </si>
  <si>
    <t>FCC1700803</t>
  </si>
  <si>
    <t>A-22</t>
  </si>
  <si>
    <t>FCC1700804</t>
  </si>
  <si>
    <t>17321</t>
  </si>
  <si>
    <t>FCC1700805</t>
  </si>
  <si>
    <t>0817052</t>
  </si>
  <si>
    <t>FCC1700806</t>
  </si>
  <si>
    <t>20170830030348648</t>
  </si>
  <si>
    <t>FCC1700807</t>
  </si>
  <si>
    <t>17/083</t>
  </si>
  <si>
    <t>FCC1700808</t>
  </si>
  <si>
    <t>000793/17</t>
  </si>
  <si>
    <t>FCC1700809</t>
  </si>
  <si>
    <t>170504348/01743</t>
  </si>
  <si>
    <t>FCC1700810</t>
  </si>
  <si>
    <t>170605265/01968</t>
  </si>
  <si>
    <t>FCC1700811</t>
  </si>
  <si>
    <t>A/27</t>
  </si>
  <si>
    <t>FCC1700812</t>
  </si>
  <si>
    <t>1709C0511523</t>
  </si>
  <si>
    <t>FCC1700813</t>
  </si>
  <si>
    <t>A 130</t>
  </si>
  <si>
    <t>FCC1700814</t>
  </si>
  <si>
    <t>255/2017</t>
  </si>
  <si>
    <t>FCC1700818</t>
  </si>
  <si>
    <t>G-13734</t>
  </si>
  <si>
    <t>FCC1700819</t>
  </si>
  <si>
    <t>281/17/GIP</t>
  </si>
  <si>
    <t>FCC1700822</t>
  </si>
  <si>
    <t>235886</t>
  </si>
  <si>
    <t>FCC1700823</t>
  </si>
  <si>
    <t>20170830030425287</t>
  </si>
  <si>
    <t>FCC1700824</t>
  </si>
  <si>
    <t>20170830030348646</t>
  </si>
  <si>
    <t>FCC1700825</t>
  </si>
  <si>
    <t>20170830030348649</t>
  </si>
  <si>
    <t>FCC1700826</t>
  </si>
  <si>
    <t>217211</t>
  </si>
  <si>
    <t>FCC1700827</t>
  </si>
  <si>
    <t>000764/17</t>
  </si>
  <si>
    <t>FCC1700830</t>
  </si>
  <si>
    <t>246/17/GIP</t>
  </si>
  <si>
    <t>FCC1700831</t>
  </si>
  <si>
    <t>22017055501</t>
  </si>
  <si>
    <t>FCC1700832</t>
  </si>
  <si>
    <t>700.011.724</t>
  </si>
  <si>
    <t>FCC1700833</t>
  </si>
  <si>
    <t>S37-421</t>
  </si>
  <si>
    <t>FCC1700834</t>
  </si>
  <si>
    <t>291658187490-7</t>
  </si>
  <si>
    <t>FCC1700835</t>
  </si>
  <si>
    <t>00 00000292</t>
  </si>
  <si>
    <t>FCC1700864</t>
  </si>
  <si>
    <t>201702163</t>
  </si>
  <si>
    <t>FCC1700866</t>
  </si>
  <si>
    <t>01P29EN</t>
  </si>
  <si>
    <t>FCC1700867</t>
  </si>
  <si>
    <t>01P29EM</t>
  </si>
  <si>
    <t>FCC1700868</t>
  </si>
  <si>
    <t>01P29EK</t>
  </si>
  <si>
    <t>FCC1700869</t>
  </si>
  <si>
    <t>01P29EL</t>
  </si>
  <si>
    <t>FCC1700892</t>
  </si>
  <si>
    <t>291658187490-8</t>
  </si>
  <si>
    <t>FCC1700896</t>
  </si>
  <si>
    <t>2º TRIMESTRE 2017</t>
  </si>
  <si>
    <t>FCC1700917</t>
  </si>
  <si>
    <t>01P20WZ</t>
  </si>
  <si>
    <t>FCC1700760</t>
  </si>
  <si>
    <t>7250132267</t>
  </si>
  <si>
    <t>FCC1700778</t>
  </si>
  <si>
    <t>FA140473</t>
  </si>
  <si>
    <t>FCC1700816</t>
  </si>
  <si>
    <t>7250132266</t>
  </si>
  <si>
    <t>FCC1700817</t>
  </si>
  <si>
    <t>173160</t>
  </si>
  <si>
    <t>FCC1700836</t>
  </si>
  <si>
    <t>0/000511</t>
  </si>
  <si>
    <t>FCC1700837</t>
  </si>
  <si>
    <t>L-14590</t>
  </si>
  <si>
    <t>FCC1700838</t>
  </si>
  <si>
    <t>FA140462</t>
  </si>
  <si>
    <t>FCC1700841</t>
  </si>
  <si>
    <t>A 23889</t>
  </si>
  <si>
    <t>FCC1700842</t>
  </si>
  <si>
    <t>A 133</t>
  </si>
  <si>
    <t>FCC1700843</t>
  </si>
  <si>
    <t>A 134</t>
  </si>
  <si>
    <t>FCC1700855</t>
  </si>
  <si>
    <t>1157/2017</t>
  </si>
  <si>
    <t>FCC1700863</t>
  </si>
  <si>
    <t>17369</t>
  </si>
  <si>
    <t>FCC1700875</t>
  </si>
  <si>
    <t>P17-2429</t>
  </si>
  <si>
    <t>FCC1700876</t>
  </si>
  <si>
    <t>2017/84</t>
  </si>
  <si>
    <t>FCC1700877</t>
  </si>
  <si>
    <t>338/17/GIP</t>
  </si>
  <si>
    <t>FCC1700878</t>
  </si>
  <si>
    <t>2017383</t>
  </si>
  <si>
    <t>FCC1700879</t>
  </si>
  <si>
    <t>2017/000335</t>
  </si>
  <si>
    <t>FCC1700880</t>
  </si>
  <si>
    <t>14/17</t>
  </si>
  <si>
    <t>FCC1700882</t>
  </si>
  <si>
    <t>10</t>
  </si>
  <si>
    <t>FCC1700883</t>
  </si>
  <si>
    <t>12</t>
  </si>
  <si>
    <t>FCC1700884</t>
  </si>
  <si>
    <t>A 23836</t>
  </si>
  <si>
    <t>FCC1700885</t>
  </si>
  <si>
    <t>20170429</t>
  </si>
  <si>
    <t>FCC1700886</t>
  </si>
  <si>
    <t>20170445</t>
  </si>
  <si>
    <t>FCC1700887</t>
  </si>
  <si>
    <t>2017/91</t>
  </si>
  <si>
    <t>FCC1700888</t>
  </si>
  <si>
    <t>175004PA01007</t>
  </si>
  <si>
    <t>FCC1700889</t>
  </si>
  <si>
    <t>2017/051</t>
  </si>
  <si>
    <t>FCC1700890</t>
  </si>
  <si>
    <t>17365</t>
  </si>
  <si>
    <t>FCC1700899</t>
  </si>
  <si>
    <t>17342</t>
  </si>
  <si>
    <t>FCC1700900</t>
  </si>
  <si>
    <t>22156/2017</t>
  </si>
  <si>
    <t>FCC1700903</t>
  </si>
  <si>
    <t>P317/701</t>
  </si>
  <si>
    <t>FCC1700906</t>
  </si>
  <si>
    <t>G-13798</t>
  </si>
  <si>
    <t>FCC1700907</t>
  </si>
  <si>
    <t>6001418366</t>
  </si>
  <si>
    <t>FCC1700908</t>
  </si>
  <si>
    <t>I-172898</t>
  </si>
  <si>
    <t>FCC1700909</t>
  </si>
  <si>
    <t>SI201716254</t>
  </si>
  <si>
    <t>FCC1700911</t>
  </si>
  <si>
    <t>0/000512</t>
  </si>
  <si>
    <t>FCC1700912</t>
  </si>
  <si>
    <t>109FB2017369</t>
  </si>
  <si>
    <t>FCC1700914</t>
  </si>
  <si>
    <t>17/0276</t>
  </si>
  <si>
    <t>FCC1700848</t>
  </si>
  <si>
    <t>LIQUID. GTS 3º TRIM 2017</t>
  </si>
  <si>
    <t>FCC1700856</t>
  </si>
  <si>
    <t>20170928030394159</t>
  </si>
  <si>
    <t>FCC1700857</t>
  </si>
  <si>
    <t>20170928030394591</t>
  </si>
  <si>
    <t>FCC1700858</t>
  </si>
  <si>
    <t>20170928030410670</t>
  </si>
  <si>
    <t>FCC1700859</t>
  </si>
  <si>
    <t>20170928030435998</t>
  </si>
  <si>
    <t>FCC1700860</t>
  </si>
  <si>
    <t>20170928030473308</t>
  </si>
  <si>
    <t>FCC1700861</t>
  </si>
  <si>
    <t>20170928030473309</t>
  </si>
  <si>
    <t>FCC1700862</t>
  </si>
  <si>
    <t>20170928030473310</t>
  </si>
  <si>
    <t>FCC1700891</t>
  </si>
  <si>
    <t>616/17</t>
  </si>
  <si>
    <t>FCC1700894</t>
  </si>
  <si>
    <t>7250133052</t>
  </si>
  <si>
    <t>FCC1700895</t>
  </si>
  <si>
    <t>201702428</t>
  </si>
  <si>
    <t>FCC1700897</t>
  </si>
  <si>
    <t>20170928030365677</t>
  </si>
  <si>
    <t>FCC1700898</t>
  </si>
  <si>
    <t>20170928030365679</t>
  </si>
  <si>
    <t>FCC1700902</t>
  </si>
  <si>
    <t>376300</t>
  </si>
  <si>
    <t>FCC1700904</t>
  </si>
  <si>
    <t>00002772</t>
  </si>
  <si>
    <t>FCC1700905</t>
  </si>
  <si>
    <t>00002742</t>
  </si>
  <si>
    <t>FCC1700913</t>
  </si>
  <si>
    <t>173501</t>
  </si>
  <si>
    <t>FCC1700915</t>
  </si>
  <si>
    <t>17300388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</si>
</sst>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</numFmts>
  <fonts count="6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6" borderId="4" applyNumberFormat="0" applyAlignment="0" applyProtection="0"/>
    <xf numFmtId="9" fontId="0" fillId="0" borderId="0" applyFill="0" applyBorder="0" applyAlignment="0" applyProtection="0"/>
    <xf numFmtId="0" fontId="49" fillId="0" borderId="5" applyNumberFormat="0" applyFill="0" applyAlignment="0" applyProtection="0"/>
    <xf numFmtId="0" fontId="50" fillId="27" borderId="0" applyNumberFormat="0" applyBorder="0" applyAlignment="0" applyProtection="0"/>
    <xf numFmtId="0" fontId="51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52" fillId="28" borderId="7" applyNumberFormat="0" applyAlignment="0" applyProtection="0"/>
    <xf numFmtId="0" fontId="53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32" borderId="8" applyNumberFormat="0" applyAlignment="0" applyProtection="0"/>
    <xf numFmtId="0" fontId="58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4" fillId="38" borderId="29" xfId="0" applyNumberFormat="1" applyFont="1" applyFill="1" applyBorder="1" applyAlignment="1">
      <alignment/>
    </xf>
    <xf numFmtId="4" fontId="4" fillId="38" borderId="30" xfId="0" applyNumberFormat="1" applyFont="1" applyFill="1" applyBorder="1" applyAlignment="1">
      <alignment/>
    </xf>
    <xf numFmtId="3" fontId="4" fillId="38" borderId="31" xfId="0" applyNumberFormat="1" applyFont="1" applyFill="1" applyBorder="1" applyAlignment="1">
      <alignment/>
    </xf>
    <xf numFmtId="4" fontId="4" fillId="38" borderId="32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4" fillId="38" borderId="34" xfId="0" applyNumberFormat="1" applyFont="1" applyFill="1" applyBorder="1" applyAlignment="1">
      <alignment/>
    </xf>
    <xf numFmtId="4" fontId="4" fillId="38" borderId="35" xfId="0" applyNumberFormat="1" applyFont="1" applyFill="1" applyBorder="1" applyAlignment="1">
      <alignment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/>
    </xf>
    <xf numFmtId="4" fontId="4" fillId="38" borderId="31" xfId="0" applyNumberFormat="1" applyFont="1" applyFill="1" applyBorder="1" applyAlignment="1">
      <alignment/>
    </xf>
    <xf numFmtId="4" fontId="4" fillId="38" borderId="39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4" fillId="38" borderId="32" xfId="0" applyNumberFormat="1" applyFont="1" applyFill="1" applyBorder="1" applyAlignment="1">
      <alignment/>
    </xf>
    <xf numFmtId="2" fontId="4" fillId="38" borderId="39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4" fontId="4" fillId="38" borderId="3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2" fillId="40" borderId="41" xfId="0" applyNumberFormat="1" applyFont="1" applyFill="1" applyBorder="1" applyAlignment="1">
      <alignment/>
    </xf>
    <xf numFmtId="4" fontId="2" fillId="40" borderId="46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38" xfId="0" applyNumberFormat="1" applyFont="1" applyFill="1" applyBorder="1" applyAlignment="1">
      <alignment/>
    </xf>
    <xf numFmtId="4" fontId="2" fillId="0" borderId="4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4" fontId="2" fillId="41" borderId="0" xfId="0" applyNumberFormat="1" applyFont="1" applyFill="1" applyAlignment="1">
      <alignment/>
    </xf>
    <xf numFmtId="4" fontId="4" fillId="42" borderId="0" xfId="0" applyNumberFormat="1" applyFont="1" applyFill="1" applyAlignment="1">
      <alignment/>
    </xf>
    <xf numFmtId="173" fontId="4" fillId="42" borderId="0" xfId="0" applyNumberFormat="1" applyFont="1" applyFill="1" applyAlignment="1">
      <alignment horizontal="center" wrapText="1"/>
    </xf>
    <xf numFmtId="0" fontId="4" fillId="42" borderId="0" xfId="0" applyFont="1" applyFill="1" applyAlignment="1">
      <alignment/>
    </xf>
    <xf numFmtId="0" fontId="9" fillId="41" borderId="0" xfId="0" applyFont="1" applyFill="1" applyAlignment="1">
      <alignment/>
    </xf>
    <xf numFmtId="0" fontId="2" fillId="41" borderId="0" xfId="0" applyFont="1" applyFill="1" applyAlignment="1">
      <alignment/>
    </xf>
    <xf numFmtId="173" fontId="2" fillId="41" borderId="0" xfId="0" applyNumberFormat="1" applyFont="1" applyFill="1" applyAlignment="1">
      <alignment/>
    </xf>
    <xf numFmtId="3" fontId="2" fillId="41" borderId="0" xfId="0" applyNumberFormat="1" applyFont="1" applyFill="1" applyAlignment="1">
      <alignment/>
    </xf>
    <xf numFmtId="4" fontId="2" fillId="41" borderId="0" xfId="0" applyNumberFormat="1" applyFont="1" applyFill="1" applyAlignment="1">
      <alignment/>
    </xf>
    <xf numFmtId="0" fontId="4" fillId="43" borderId="0" xfId="0" applyFont="1" applyFill="1" applyAlignment="1">
      <alignment/>
    </xf>
    <xf numFmtId="4" fontId="2" fillId="43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4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2" fillId="42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17" fillId="0" borderId="0" xfId="58" applyNumberFormat="1" applyFont="1">
      <alignment/>
      <protection/>
    </xf>
    <xf numFmtId="173" fontId="17" fillId="0" borderId="0" xfId="0" applyNumberFormat="1" applyFont="1" applyAlignment="1">
      <alignment/>
    </xf>
    <xf numFmtId="49" fontId="38" fillId="0" borderId="0" xfId="58" applyNumberFormat="1" applyFont="1">
      <alignment/>
      <protection/>
    </xf>
    <xf numFmtId="4" fontId="38" fillId="0" borderId="0" xfId="58" applyNumberFormat="1" applyFont="1">
      <alignment/>
      <protection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9" fontId="59" fillId="0" borderId="0" xfId="58" applyNumberFormat="1" applyFont="1">
      <alignment/>
      <protection/>
    </xf>
    <xf numFmtId="4" fontId="59" fillId="0" borderId="0" xfId="58" applyNumberFormat="1" applyFont="1">
      <alignment/>
      <protection/>
    </xf>
    <xf numFmtId="49" fontId="17" fillId="0" borderId="0" xfId="60" applyNumberFormat="1" applyFont="1" applyFill="1">
      <alignment/>
      <protection/>
    </xf>
    <xf numFmtId="49" fontId="17" fillId="0" borderId="0" xfId="60" applyNumberFormat="1" applyFont="1">
      <alignment/>
      <protection/>
    </xf>
    <xf numFmtId="14" fontId="19" fillId="0" borderId="0" xfId="59" applyNumberFormat="1" applyFont="1" applyFill="1" applyAlignment="1">
      <alignment horizontal="center" wrapText="1"/>
      <protection/>
    </xf>
    <xf numFmtId="0" fontId="17" fillId="0" borderId="0" xfId="60" applyFont="1">
      <alignment/>
      <protection/>
    </xf>
    <xf numFmtId="0" fontId="17" fillId="0" borderId="0" xfId="60" applyFont="1" applyFill="1">
      <alignment/>
      <protection/>
    </xf>
    <xf numFmtId="4" fontId="17" fillId="0" borderId="0" xfId="58" applyNumberFormat="1" applyFont="1">
      <alignment/>
      <protection/>
    </xf>
    <xf numFmtId="49" fontId="60" fillId="0" borderId="0" xfId="58" applyNumberFormat="1" applyFont="1">
      <alignment/>
      <protection/>
    </xf>
    <xf numFmtId="4" fontId="60" fillId="0" borderId="0" xfId="58" applyNumberFormat="1" applyFont="1">
      <alignment/>
      <protection/>
    </xf>
    <xf numFmtId="49" fontId="17" fillId="0" borderId="0" xfId="0" applyNumberFormat="1" applyFont="1" applyAlignment="1">
      <alignment/>
    </xf>
    <xf numFmtId="49" fontId="61" fillId="0" borderId="0" xfId="58" applyNumberFormat="1" applyFont="1">
      <alignment/>
      <protection/>
    </xf>
    <xf numFmtId="173" fontId="0" fillId="0" borderId="0" xfId="0" applyNumberFormat="1" applyFont="1" applyAlignment="1">
      <alignment/>
    </xf>
    <xf numFmtId="4" fontId="61" fillId="0" borderId="0" xfId="58" applyNumberFormat="1" applyFont="1">
      <alignment/>
      <protection/>
    </xf>
    <xf numFmtId="3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2" fontId="9" fillId="0" borderId="19" xfId="0" applyNumberFormat="1" applyFont="1" applyBorder="1" applyAlignment="1">
      <alignment horizontal="center"/>
    </xf>
    <xf numFmtId="0" fontId="12" fillId="44" borderId="48" xfId="0" applyFont="1" applyFill="1" applyBorder="1" applyAlignment="1">
      <alignment horizontal="center"/>
    </xf>
    <xf numFmtId="0" fontId="12" fillId="44" borderId="49" xfId="0" applyFont="1" applyFill="1" applyBorder="1" applyAlignment="1">
      <alignment horizontal="center"/>
    </xf>
    <xf numFmtId="0" fontId="12" fillId="44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0" fontId="4" fillId="37" borderId="50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51" xfId="0" applyFont="1" applyFill="1" applyBorder="1" applyAlignment="1">
      <alignment horizontal="center" vertical="center" wrapText="1"/>
    </xf>
    <xf numFmtId="0" fontId="4" fillId="37" borderId="5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4" fillId="37" borderId="54" xfId="0" applyFont="1" applyFill="1" applyBorder="1" applyAlignment="1">
      <alignment horizontal="center"/>
    </xf>
    <xf numFmtId="0" fontId="4" fillId="37" borderId="55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38" borderId="42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38" borderId="56" xfId="0" applyFont="1" applyFill="1" applyBorder="1" applyAlignment="1">
      <alignment horizontal="right"/>
    </xf>
    <xf numFmtId="0" fontId="4" fillId="38" borderId="57" xfId="0" applyFont="1" applyFill="1" applyBorder="1" applyAlignment="1">
      <alignment horizontal="right"/>
    </xf>
    <xf numFmtId="0" fontId="4" fillId="37" borderId="58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59" xfId="0" applyFont="1" applyFill="1" applyBorder="1" applyAlignment="1">
      <alignment/>
    </xf>
    <xf numFmtId="0" fontId="4" fillId="45" borderId="60" xfId="0" applyFont="1" applyFill="1" applyBorder="1" applyAlignment="1">
      <alignment horizontal="right"/>
    </xf>
    <xf numFmtId="0" fontId="4" fillId="45" borderId="61" xfId="0" applyFont="1" applyFill="1" applyBorder="1" applyAlignment="1">
      <alignment horizontal="right"/>
    </xf>
    <xf numFmtId="0" fontId="4" fillId="45" borderId="62" xfId="0" applyFont="1" applyFill="1" applyBorder="1" applyAlignment="1">
      <alignment horizontal="right"/>
    </xf>
    <xf numFmtId="0" fontId="4" fillId="38" borderId="63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48" xfId="0" applyFont="1" applyFill="1" applyBorder="1" applyAlignment="1">
      <alignment/>
    </xf>
    <xf numFmtId="0" fontId="4" fillId="38" borderId="64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45" borderId="65" xfId="0" applyFont="1" applyFill="1" applyBorder="1" applyAlignment="1">
      <alignment horizontal="right"/>
    </xf>
    <xf numFmtId="0" fontId="4" fillId="45" borderId="34" xfId="0" applyFont="1" applyFill="1" applyBorder="1" applyAlignment="1">
      <alignment horizontal="right"/>
    </xf>
    <xf numFmtId="0" fontId="4" fillId="45" borderId="66" xfId="0" applyFont="1" applyFill="1" applyBorder="1" applyAlignment="1">
      <alignment horizontal="right"/>
    </xf>
    <xf numFmtId="0" fontId="2" fillId="0" borderId="49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4" fillId="45" borderId="68" xfId="0" applyFont="1" applyFill="1" applyBorder="1" applyAlignment="1">
      <alignment horizontal="right"/>
    </xf>
    <xf numFmtId="0" fontId="4" fillId="45" borderId="32" xfId="0" applyFont="1" applyFill="1" applyBorder="1" applyAlignment="1">
      <alignment horizontal="right"/>
    </xf>
    <xf numFmtId="0" fontId="4" fillId="45" borderId="30" xfId="0" applyFont="1" applyFill="1" applyBorder="1" applyAlignment="1">
      <alignment horizontal="right"/>
    </xf>
    <xf numFmtId="0" fontId="2" fillId="40" borderId="69" xfId="0" applyFont="1" applyFill="1" applyBorder="1" applyAlignment="1">
      <alignment horizontal="left" vertical="top" wrapText="1"/>
    </xf>
    <xf numFmtId="0" fontId="2" fillId="40" borderId="70" xfId="0" applyFont="1" applyFill="1" applyBorder="1" applyAlignment="1">
      <alignment horizontal="left" vertical="top" wrapText="1"/>
    </xf>
    <xf numFmtId="0" fontId="4" fillId="45" borderId="71" xfId="0" applyFont="1" applyFill="1" applyBorder="1" applyAlignment="1">
      <alignment horizontal="right"/>
    </xf>
    <xf numFmtId="0" fontId="4" fillId="45" borderId="72" xfId="0" applyFont="1" applyFill="1" applyBorder="1" applyAlignment="1">
      <alignment horizontal="right"/>
    </xf>
    <xf numFmtId="0" fontId="4" fillId="45" borderId="73" xfId="0" applyFont="1" applyFill="1" applyBorder="1" applyAlignment="1">
      <alignment horizontal="right"/>
    </xf>
    <xf numFmtId="0" fontId="4" fillId="37" borderId="50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3" xfId="0" applyFont="1" applyBorder="1" applyAlignment="1">
      <alignment/>
    </xf>
    <xf numFmtId="0" fontId="4" fillId="37" borderId="74" xfId="0" applyFont="1" applyFill="1" applyBorder="1" applyAlignment="1">
      <alignment horizontal="center" wrapText="1"/>
    </xf>
    <xf numFmtId="0" fontId="2" fillId="0" borderId="75" xfId="0" applyFont="1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4" fillId="37" borderId="77" xfId="0" applyFont="1" applyFill="1" applyBorder="1" applyAlignment="1">
      <alignment horizontal="center" wrapText="1"/>
    </xf>
    <xf numFmtId="0" fontId="4" fillId="37" borderId="58" xfId="0" applyFont="1" applyFill="1" applyBorder="1" applyAlignment="1">
      <alignment horizontal="center" wrapText="1"/>
    </xf>
    <xf numFmtId="14" fontId="0" fillId="0" borderId="0" xfId="60" applyNumberFormat="1" applyFont="1">
      <alignment/>
      <protection/>
    </xf>
  </cellXfs>
  <cellStyles count="52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Normala_PAGADO" xfId="59"/>
    <cellStyle name="Normala_xehet1" xfId="60"/>
    <cellStyle name="Oharra" xfId="61"/>
    <cellStyle name="Ohar-testua" xfId="62"/>
    <cellStyle name="Ondo" xfId="63"/>
    <cellStyle name="Sarrera" xfId="64"/>
    <cellStyle name="Titulua" xfId="65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tabSelected="1" zoomScalePageLayoutView="0" workbookViewId="0" topLeftCell="A64">
      <selection activeCell="H81" sqref="H81"/>
    </sheetView>
  </sheetViews>
  <sheetFormatPr defaultColWidth="9.140625" defaultRowHeight="12.75" customHeight="1"/>
  <cols>
    <col min="1" max="1" width="3.140625" style="2" customWidth="1"/>
    <col min="2" max="2" width="4.421875" style="2" bestFit="1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162">
        <f>SUMSQ(D27:I27,D39:F40,D59:I59,D72:F72,D82:F83,E91:H91)</f>
        <v>111025588.9247999</v>
      </c>
      <c r="B1" s="162"/>
    </row>
    <row r="2" spans="1:9" s="42" customFormat="1" ht="15.75" customHeight="1">
      <c r="A2" s="163" t="s">
        <v>21</v>
      </c>
      <c r="B2" s="164"/>
      <c r="C2" s="164"/>
      <c r="D2" s="164"/>
      <c r="E2" s="164"/>
      <c r="F2" s="164"/>
      <c r="G2" s="164"/>
      <c r="H2" s="164"/>
      <c r="I2" s="165"/>
    </row>
    <row r="3" spans="1:9" s="42" customFormat="1" ht="15.75" customHeight="1">
      <c r="A3" s="43"/>
      <c r="B3" s="44"/>
      <c r="C3" s="45" t="s">
        <v>4</v>
      </c>
      <c r="D3" s="166" t="s">
        <v>107</v>
      </c>
      <c r="E3" s="166"/>
      <c r="F3" s="166"/>
      <c r="G3" s="166"/>
      <c r="H3" s="44"/>
      <c r="I3" s="46"/>
    </row>
    <row r="4" spans="1:9" s="42" customFormat="1" ht="15.75" customHeight="1">
      <c r="A4" s="43"/>
      <c r="B4" s="44"/>
      <c r="C4" s="47" t="s">
        <v>5</v>
      </c>
      <c r="D4" s="48">
        <v>2017</v>
      </c>
      <c r="E4" s="49"/>
      <c r="F4" s="44"/>
      <c r="G4" s="44"/>
      <c r="H4" s="44"/>
      <c r="I4" s="46"/>
    </row>
    <row r="5" spans="1:9" s="42" customFormat="1" ht="15.75" customHeight="1">
      <c r="A5" s="50"/>
      <c r="B5" s="51"/>
      <c r="C5" s="52" t="s">
        <v>6</v>
      </c>
      <c r="D5" s="53" t="s">
        <v>108</v>
      </c>
      <c r="E5" s="54"/>
      <c r="F5" s="51"/>
      <c r="G5" s="51"/>
      <c r="H5" s="51"/>
      <c r="I5" s="55"/>
    </row>
    <row r="6" spans="1:9" ht="12.75" customHeight="1">
      <c r="A6" s="19"/>
      <c r="B6" s="19"/>
      <c r="C6" s="20"/>
      <c r="D6" s="21"/>
      <c r="E6" s="21"/>
      <c r="F6" s="19"/>
      <c r="G6" s="19"/>
      <c r="H6" s="19"/>
      <c r="I6" s="19"/>
    </row>
    <row r="7" spans="1:9" ht="12.75" customHeight="1">
      <c r="A7" s="19"/>
      <c r="B7" s="19"/>
      <c r="C7" s="20"/>
      <c r="D7" s="21"/>
      <c r="E7" s="21"/>
      <c r="F7" s="19"/>
      <c r="G7" s="19"/>
      <c r="H7" s="19"/>
      <c r="I7" s="19"/>
    </row>
    <row r="9" s="42" customFormat="1" ht="15.75">
      <c r="A9" s="41" t="s">
        <v>28</v>
      </c>
    </row>
    <row r="10" ht="12.75" customHeight="1">
      <c r="A10" s="4"/>
    </row>
    <row r="11" ht="12.75" customHeight="1">
      <c r="A11" s="4"/>
    </row>
    <row r="12" s="18" customFormat="1" ht="13.5" thickBot="1">
      <c r="A12" s="1" t="s">
        <v>29</v>
      </c>
    </row>
    <row r="13" spans="1:9" ht="12.75" customHeight="1">
      <c r="A13" s="167" t="s">
        <v>22</v>
      </c>
      <c r="B13" s="168"/>
      <c r="C13" s="169"/>
      <c r="D13" s="173" t="s">
        <v>33</v>
      </c>
      <c r="E13" s="174"/>
      <c r="F13" s="175" t="s">
        <v>14</v>
      </c>
      <c r="G13" s="176"/>
      <c r="H13" s="176"/>
      <c r="I13" s="177"/>
    </row>
    <row r="14" spans="1:9" ht="12.75" customHeight="1">
      <c r="A14" s="170"/>
      <c r="B14" s="171"/>
      <c r="C14" s="172"/>
      <c r="D14" s="178" t="s">
        <v>46</v>
      </c>
      <c r="E14" s="179"/>
      <c r="F14" s="180" t="s">
        <v>35</v>
      </c>
      <c r="G14" s="181"/>
      <c r="H14" s="181" t="s">
        <v>36</v>
      </c>
      <c r="I14" s="182"/>
    </row>
    <row r="15" spans="1:9" ht="22.5">
      <c r="A15" s="170"/>
      <c r="B15" s="171"/>
      <c r="C15" s="172"/>
      <c r="D15" s="63" t="s">
        <v>11</v>
      </c>
      <c r="E15" s="23" t="s">
        <v>34</v>
      </c>
      <c r="F15" s="60" t="s">
        <v>12</v>
      </c>
      <c r="G15" s="22" t="s">
        <v>13</v>
      </c>
      <c r="H15" s="22" t="s">
        <v>12</v>
      </c>
      <c r="I15" s="74" t="s">
        <v>13</v>
      </c>
    </row>
    <row r="16" spans="1:9" ht="12.75" customHeight="1">
      <c r="A16" s="183" t="s">
        <v>18</v>
      </c>
      <c r="B16" s="184"/>
      <c r="C16" s="184"/>
      <c r="D16" s="64">
        <f>IF(G16+I16=0,0,(D17*(G17+I17)+D18*(G18+I18)+D19*(G19+I19)+D20*(G20+I20)+D21*(G21+I21))/(G16+I16))</f>
        <v>0</v>
      </c>
      <c r="E16" s="65">
        <f>IF(I16=0,0,(E17*I17+E18*I18+E19*I19+E20*I20+E21*I21)/I16)</f>
        <v>0</v>
      </c>
      <c r="F16" s="61">
        <f>SUM(F17:F21)</f>
        <v>187</v>
      </c>
      <c r="G16" s="24">
        <f>SUM(G17:G21)</f>
        <v>168420.51999999993</v>
      </c>
      <c r="H16" s="25">
        <f>SUM(H17:H21)</f>
        <v>0</v>
      </c>
      <c r="I16" s="95">
        <f>SUM(I17:I21)</f>
        <v>0</v>
      </c>
    </row>
    <row r="17" spans="1:9" ht="12.75" customHeight="1">
      <c r="A17" s="98"/>
      <c r="B17" s="99" t="s">
        <v>0</v>
      </c>
      <c r="C17" s="19" t="s">
        <v>7</v>
      </c>
      <c r="D17" s="66">
        <f>IF(F17+H17=0,0,SUMIF(xehet1!S:S,20,xehet1!T:T)/SUMIF(xehet1!S:S,20,xehet1!D:D))</f>
        <v>0</v>
      </c>
      <c r="E17" s="38">
        <f>IF(H17=0,0,SUMIF(xehet1!V:V,220,xehet1!T:T)/SUMIF(xehet1!V:V,220,xehet1!D:D))</f>
        <v>0</v>
      </c>
      <c r="F17" s="39">
        <f>COUNTIF(xehet1!V:V,120)</f>
        <v>13</v>
      </c>
      <c r="G17" s="26">
        <f>SUMIF(xehet1!V:V,120,xehet1!D:D)</f>
        <v>7110.160000000002</v>
      </c>
      <c r="H17" s="27">
        <f>COUNTIF(xehet1!V:V,220)</f>
        <v>0</v>
      </c>
      <c r="I17" s="85">
        <f>SUMIF(xehet1!V:V,220,xehet1!D:D)</f>
        <v>0</v>
      </c>
    </row>
    <row r="18" spans="1:9" ht="12.75" customHeight="1">
      <c r="A18" s="98"/>
      <c r="B18" s="99" t="s">
        <v>1</v>
      </c>
      <c r="C18" s="19" t="s">
        <v>19</v>
      </c>
      <c r="D18" s="66">
        <f>IF(F18+H18=0,0,SUMIF(xehet1!S:S,21,xehet1!T:T)/SUMIF(xehet1!S:S,21,xehet1!D:D))</f>
        <v>0</v>
      </c>
      <c r="E18" s="38">
        <f>IF(H18=0,0,SUMIF(xehet1!V:V,221,xehet1!T:T)/SUMIF(xehet1!V:V,221,xehet1!D:D))</f>
        <v>0</v>
      </c>
      <c r="F18" s="39">
        <f>COUNTIF(xehet1!V:V,121)</f>
        <v>21</v>
      </c>
      <c r="G18" s="26">
        <f>SUMIF(xehet1!V:V,121,xehet1!D:D)</f>
        <v>5696.46</v>
      </c>
      <c r="H18" s="27">
        <f>COUNTIF(xehet1!V:V,221)</f>
        <v>0</v>
      </c>
      <c r="I18" s="85">
        <f>SUMIF(xehet1!V:V,221,xehet1!D:D)</f>
        <v>0</v>
      </c>
    </row>
    <row r="19" spans="1:9" ht="12.75" customHeight="1">
      <c r="A19" s="98"/>
      <c r="B19" s="99" t="s">
        <v>2</v>
      </c>
      <c r="C19" s="19" t="s">
        <v>8</v>
      </c>
      <c r="D19" s="66">
        <f>IF(F19+H19=0,0,SUMIF(xehet1!S:S,22,xehet1!T:T)/SUMIF(xehet1!S:S,22,xehet1!D:D))</f>
        <v>0</v>
      </c>
      <c r="E19" s="38">
        <f>IF(H19=0,0,SUMIF(xehet1!V:V,222,xehet1!T:T)/SUMIF(xehet1!V:V,222,xehet1!D:D))</f>
        <v>0</v>
      </c>
      <c r="F19" s="39">
        <f>COUNTIF(xehet1!V:V,122)</f>
        <v>17</v>
      </c>
      <c r="G19" s="26">
        <f>SUMIF(xehet1!V:V,122,xehet1!D:D)</f>
        <v>23568.450000000004</v>
      </c>
      <c r="H19" s="27">
        <f>COUNTIF(xehet1!V:V,222)</f>
        <v>0</v>
      </c>
      <c r="I19" s="85">
        <f>SUMIF(xehet1!V:V,222,xehet1!D:D)</f>
        <v>0</v>
      </c>
    </row>
    <row r="20" spans="1:9" ht="12.75" customHeight="1">
      <c r="A20" s="98"/>
      <c r="B20" s="99" t="s">
        <v>3</v>
      </c>
      <c r="C20" s="19" t="s">
        <v>9</v>
      </c>
      <c r="D20" s="66">
        <f>IF(F20+H20=0,0,SUMIF(xehet1!S:S,23,xehet1!T:T)/SUMIF(xehet1!S:S,23,xehet1!D:D))</f>
        <v>0</v>
      </c>
      <c r="E20" s="38">
        <f>IF(H20=0,0,SUMIF(xehet1!V:V,223,xehet1!T:T)/SUMIF(xehet1!V:V,223,xehet1!D:D))</f>
        <v>0</v>
      </c>
      <c r="F20" s="39">
        <f>COUNTIF(xehet1!V:V,123)</f>
        <v>0</v>
      </c>
      <c r="G20" s="26">
        <f>SUMIF(xehet1!V:V,123,xehet1!D:D)</f>
        <v>0</v>
      </c>
      <c r="H20" s="27">
        <f>COUNTIF(xehet1!V:V,223)</f>
        <v>0</v>
      </c>
      <c r="I20" s="85">
        <f>SUMIF(xehet1!V:V,223,xehet1!D:D)</f>
        <v>0</v>
      </c>
    </row>
    <row r="21" spans="1:9" ht="12.75" customHeight="1">
      <c r="A21" s="98"/>
      <c r="B21" s="99" t="s">
        <v>24</v>
      </c>
      <c r="C21" s="19" t="s">
        <v>23</v>
      </c>
      <c r="D21" s="66">
        <f>IF(F21+H21=0,0,SUMIF(xehet1!S:S,29,xehet1!T:T)/SUMIF(xehet1!S:S,29,xehet1!D:D))</f>
        <v>0</v>
      </c>
      <c r="E21" s="38">
        <f>IF(H21=0,0,SUMIF(xehet1!V:V,229,xehet1!T:T)/SUMIF(xehet1!V:V,229,xehet1!D:D))</f>
        <v>0</v>
      </c>
      <c r="F21" s="39">
        <f>COUNTIF(xehet1!V:V,129)</f>
        <v>136</v>
      </c>
      <c r="G21" s="26">
        <f>SUMIF(xehet1!V:V,129,xehet1!D:D)</f>
        <v>132045.44999999992</v>
      </c>
      <c r="H21" s="27">
        <f>COUNTIF(xehet1!V:V,229)</f>
        <v>0</v>
      </c>
      <c r="I21" s="85">
        <f>SUMIF(xehet1!V:V,229,xehet1!D:D)</f>
        <v>0</v>
      </c>
    </row>
    <row r="22" spans="1:9" ht="12.75" customHeight="1">
      <c r="A22" s="183" t="s">
        <v>10</v>
      </c>
      <c r="B22" s="184"/>
      <c r="C22" s="184"/>
      <c r="D22" s="64">
        <f aca="true" t="shared" si="0" ref="D22:I22">D23</f>
        <v>0</v>
      </c>
      <c r="E22" s="65">
        <f t="shared" si="0"/>
        <v>0</v>
      </c>
      <c r="F22" s="62">
        <f t="shared" si="0"/>
        <v>7</v>
      </c>
      <c r="G22" s="29">
        <f t="shared" si="0"/>
        <v>15327.859999999999</v>
      </c>
      <c r="H22" s="28">
        <f t="shared" si="0"/>
        <v>0</v>
      </c>
      <c r="I22" s="95">
        <f t="shared" si="0"/>
        <v>0</v>
      </c>
    </row>
    <row r="23" spans="1:9" ht="12.75" customHeight="1">
      <c r="A23" s="98"/>
      <c r="B23" s="100" t="s">
        <v>26</v>
      </c>
      <c r="C23" s="101" t="s">
        <v>27</v>
      </c>
      <c r="D23" s="66">
        <f>IF(F23+H23=0,0,SUMIF(xehet1!S:S,69,xehet1!T:T)/SUMIF(xehet1!S:S,69,xehet1!D:D))</f>
        <v>0</v>
      </c>
      <c r="E23" s="38">
        <f>IF(H23=0,0,SUMIF(xehet1!V:V,269,xehet1!T:T)/SUMIF(xehet1!V:V,269,xehet1!D:D))</f>
        <v>0</v>
      </c>
      <c r="F23" s="39">
        <f>COUNTIF(xehet1!V:V,169)</f>
        <v>7</v>
      </c>
      <c r="G23" s="26">
        <f>SUMIF(xehet1!V:V,169,xehet1!D:D)</f>
        <v>15327.859999999999</v>
      </c>
      <c r="H23" s="27">
        <f>COUNTIF(xehet1!V:V,269)</f>
        <v>0</v>
      </c>
      <c r="I23" s="85">
        <f>SUMIF(xehet1!V:V,269,xehet1!D:D)</f>
        <v>0</v>
      </c>
    </row>
    <row r="24" spans="1:9" ht="12.75" customHeight="1">
      <c r="A24" s="183" t="s">
        <v>66</v>
      </c>
      <c r="B24" s="184"/>
      <c r="C24" s="184"/>
      <c r="D24" s="64">
        <f aca="true" t="shared" si="1" ref="D24:I24">D25</f>
        <v>0</v>
      </c>
      <c r="E24" s="65">
        <f t="shared" si="1"/>
        <v>0</v>
      </c>
      <c r="F24" s="62">
        <f t="shared" si="1"/>
        <v>0</v>
      </c>
      <c r="G24" s="29">
        <f t="shared" si="1"/>
        <v>0</v>
      </c>
      <c r="H24" s="28">
        <f t="shared" si="1"/>
        <v>0</v>
      </c>
      <c r="I24" s="95">
        <f t="shared" si="1"/>
        <v>0</v>
      </c>
    </row>
    <row r="25" spans="1:9" ht="12.75" customHeight="1">
      <c r="A25" s="98"/>
      <c r="B25" s="185" t="s">
        <v>25</v>
      </c>
      <c r="C25" s="185"/>
      <c r="D25" s="106"/>
      <c r="E25" s="107"/>
      <c r="F25" s="108"/>
      <c r="G25" s="109"/>
      <c r="H25" s="110"/>
      <c r="I25" s="111"/>
    </row>
    <row r="26" spans="1:9" ht="12.75" customHeight="1" thickBot="1">
      <c r="A26" s="186" t="s">
        <v>11</v>
      </c>
      <c r="B26" s="187"/>
      <c r="C26" s="187"/>
      <c r="D26" s="75">
        <f>IF(G26+I26=0,0,(D16*(G16+I16)+D22*(G22+I22)+D24*(G24+I24))/(G26+I26))</f>
        <v>0</v>
      </c>
      <c r="E26" s="76">
        <f>IF(I26=0,0,(E16*I16+E22*I22+E24*I24)/I26)</f>
        <v>0</v>
      </c>
      <c r="F26" s="77">
        <f>F16+F22+F24</f>
        <v>194</v>
      </c>
      <c r="G26" s="78">
        <f>G16+G22+G24</f>
        <v>183748.37999999992</v>
      </c>
      <c r="H26" s="79">
        <f>H16+H22+H24</f>
        <v>0</v>
      </c>
      <c r="I26" s="82">
        <f>I16+I22+I24</f>
        <v>0</v>
      </c>
    </row>
    <row r="27" spans="1:9" ht="12.75" customHeight="1">
      <c r="A27" s="2" t="s">
        <v>68</v>
      </c>
      <c r="D27" s="72">
        <f>IF(SUM(xehet1!D:D)=0,0,SUM(xehet1!T:T)/SUM(xehet1!D:D))-IF((G16+I16+G22+I22)=0,0,(D16*(G16+I16)+D22*(G22+I22))/(G16+I16+G22+I22))</f>
        <v>0</v>
      </c>
      <c r="E27" s="72">
        <f>IF(SUMIF(xehet1!V:V,"&gt;199",xehet1!D:D)=0,0,SUMIF(xehet1!V:V,"&gt;199",xehet1!T:T)/SUMIF(xehet1!V:V,"&gt;199",xehet1!D:D))-IF(I16+I22=0,0,(E16*I16+E22*I22)/(I16+I22))</f>
        <v>0</v>
      </c>
      <c r="F27" s="72">
        <f>COUNTIF(xehet1!P:P,"&lt;=30")-F26+F25</f>
        <v>0</v>
      </c>
      <c r="G27" s="72">
        <f>SUMIF(xehet1!P:P,"&lt;=30",xehet1!D:D)-G26+G25</f>
        <v>2.9103830456733704E-11</v>
      </c>
      <c r="H27" s="72">
        <f>COUNTIF(xehet1!P:P,"&gt;30")-H26+H25</f>
        <v>0</v>
      </c>
      <c r="I27" s="72">
        <f>SUMIF(xehet1!P:P,"&gt;30",xehet1!D:D)-I26+I25</f>
        <v>0</v>
      </c>
    </row>
    <row r="28" spans="4:9" ht="12.75" customHeight="1">
      <c r="D28" s="34"/>
      <c r="E28" s="34"/>
      <c r="F28" s="34"/>
      <c r="G28" s="34"/>
      <c r="H28" s="34"/>
      <c r="I28" s="34"/>
    </row>
    <row r="29" spans="4:9" ht="12.75" customHeight="1">
      <c r="D29" s="34"/>
      <c r="E29" s="34"/>
      <c r="F29" s="34"/>
      <c r="G29" s="34"/>
      <c r="H29" s="34"/>
      <c r="I29" s="34"/>
    </row>
    <row r="30" ht="13.5" thickBot="1">
      <c r="A30" s="1" t="s">
        <v>30</v>
      </c>
    </row>
    <row r="31" spans="1:7" ht="12.75" customHeight="1">
      <c r="A31" s="167" t="s">
        <v>56</v>
      </c>
      <c r="B31" s="168"/>
      <c r="C31" s="188"/>
      <c r="D31" s="190" t="s">
        <v>57</v>
      </c>
      <c r="E31" s="191"/>
      <c r="F31" s="191"/>
      <c r="G31" s="192"/>
    </row>
    <row r="32" spans="1:7" ht="12.75" customHeight="1">
      <c r="A32" s="170"/>
      <c r="B32" s="171"/>
      <c r="C32" s="189"/>
      <c r="D32" s="60" t="s">
        <v>58</v>
      </c>
      <c r="E32" s="22" t="s">
        <v>59</v>
      </c>
      <c r="F32" s="22" t="s">
        <v>13</v>
      </c>
      <c r="G32" s="74" t="s">
        <v>59</v>
      </c>
    </row>
    <row r="33" spans="1:7" ht="12.75" customHeight="1">
      <c r="A33" s="98"/>
      <c r="B33" s="193" t="s">
        <v>39</v>
      </c>
      <c r="C33" s="194"/>
      <c r="D33" s="70">
        <f>COUNTIF(xehet1!P:P,"&lt;=30")+F25</f>
        <v>194</v>
      </c>
      <c r="E33" s="32">
        <f>IF($D$38=0,0,D33*100/$D$38)</f>
        <v>100</v>
      </c>
      <c r="F33" s="32">
        <f>SUMIF(xehet1!P:P,"&lt;=30",xehet1!D:D)+G25</f>
        <v>183748.37999999995</v>
      </c>
      <c r="G33" s="112">
        <f>IF($F$38=0,0,F33*100/$F$38)</f>
        <v>100.00000000000001</v>
      </c>
    </row>
    <row r="34" spans="1:7" ht="12.75" customHeight="1">
      <c r="A34" s="98"/>
      <c r="B34" s="195" t="s">
        <v>60</v>
      </c>
      <c r="C34" s="196"/>
      <c r="D34" s="71">
        <f>COUNTIF(xehet1!P:P,"&lt;=40")-D33+F25+IF(AND(E25&gt;30,E25&lt;=40),H25)</f>
        <v>0</v>
      </c>
      <c r="E34" s="26">
        <f>IF($D$38=0,0,D34*100/$D$38)</f>
        <v>0</v>
      </c>
      <c r="F34" s="26">
        <f>SUMIF(xehet1!P:P,"&lt;=40",xehet1!D:D)-F33+G25+IF(AND(E25&gt;30,E25&lt;=40),I25)</f>
        <v>0</v>
      </c>
      <c r="G34" s="85">
        <f>IF($F$38=0,0,F34*100/$F$38)</f>
        <v>0</v>
      </c>
    </row>
    <row r="35" spans="1:7" ht="12.75" customHeight="1">
      <c r="A35" s="98"/>
      <c r="B35" s="102" t="s">
        <v>61</v>
      </c>
      <c r="C35" s="103"/>
      <c r="D35" s="71">
        <f>COUNTIF(xehet1!P:P,"&lt;=50")-SUM(D33:D34)+F25+IF(E25&lt;=50,H25)</f>
        <v>0</v>
      </c>
      <c r="E35" s="26">
        <f>IF($D$38=0,0,D35*100/$D$38)</f>
        <v>0</v>
      </c>
      <c r="F35" s="26">
        <f>SUMIF(xehet1!P:P,"&lt;=50",xehet1!D:D)-SUM(F33:F34)+G25+IF(E25&lt;=50,I25)</f>
        <v>0</v>
      </c>
      <c r="G35" s="85">
        <f>IF($F$38=0,0,F35*100/$F$38)</f>
        <v>0</v>
      </c>
    </row>
    <row r="36" spans="1:7" ht="12.75" customHeight="1">
      <c r="A36" s="98"/>
      <c r="B36" s="193" t="s">
        <v>62</v>
      </c>
      <c r="C36" s="194"/>
      <c r="D36" s="71">
        <f>COUNTIF(xehet1!P:P,"&lt;=60")-SUM(D33:D35)+F25+IF(E25&lt;=60,H25)</f>
        <v>0</v>
      </c>
      <c r="E36" s="26">
        <f>IF($D$38=0,0,D36*100/$D$38)</f>
        <v>0</v>
      </c>
      <c r="F36" s="26">
        <f>SUMIF(xehet1!P:P,"&lt;=60",xehet1!D:D)-SUM(F33:F35)+G25+IF(E25&lt;=60,I25)</f>
        <v>0</v>
      </c>
      <c r="G36" s="85">
        <f>IF($F$38=0,0,F36*100/$F$38)</f>
        <v>0</v>
      </c>
    </row>
    <row r="37" spans="1:7" ht="12.75" customHeight="1">
      <c r="A37" s="104"/>
      <c r="B37" s="185" t="s">
        <v>63</v>
      </c>
      <c r="C37" s="197"/>
      <c r="D37" s="94">
        <f>COUNTIF(xehet1!P:P,"&gt;60")+IF(E25&gt;60,H25)</f>
        <v>0</v>
      </c>
      <c r="E37" s="26">
        <f>IF($D$38=0,0,D37*100/$D$38)</f>
        <v>0</v>
      </c>
      <c r="F37" s="30">
        <f>SUMIF(xehet1!P:P,"&gt;60",xehet1!D:D)+IF(E25&gt;60,I25)</f>
        <v>0</v>
      </c>
      <c r="G37" s="85">
        <f>IF($F$38=0,0,F37*100/$F$38)</f>
        <v>0</v>
      </c>
    </row>
    <row r="38" spans="1:7" ht="12.75" customHeight="1" thickBot="1">
      <c r="A38" s="198" t="s">
        <v>11</v>
      </c>
      <c r="B38" s="199"/>
      <c r="C38" s="200"/>
      <c r="D38" s="80">
        <f>SUM(D33:D37)</f>
        <v>194</v>
      </c>
      <c r="E38" s="81">
        <f>SUM(E33:E37)</f>
        <v>100</v>
      </c>
      <c r="F38" s="81">
        <f>SUM(F33:F37)</f>
        <v>183748.37999999995</v>
      </c>
      <c r="G38" s="82">
        <f>SUM(G33:G37)</f>
        <v>100.00000000000001</v>
      </c>
    </row>
    <row r="39" spans="1:6" ht="12.75" customHeight="1">
      <c r="A39" s="33"/>
      <c r="B39" s="33"/>
      <c r="C39" s="33"/>
      <c r="D39" s="72">
        <f>COUNT(xehet1!D:D)-D38+F25+H25</f>
        <v>0</v>
      </c>
      <c r="E39" s="72"/>
      <c r="F39" s="72">
        <f>SUM(xehet1!D:D)-F38+G25+I25</f>
        <v>0</v>
      </c>
    </row>
    <row r="40" spans="1:6" ht="12.75" customHeight="1">
      <c r="A40" s="33"/>
      <c r="B40" s="33"/>
      <c r="C40" s="33"/>
      <c r="D40" s="72">
        <f>F26+H26-D38</f>
        <v>0</v>
      </c>
      <c r="E40" s="72"/>
      <c r="F40" s="72">
        <f>G26+I26-F38</f>
        <v>0</v>
      </c>
    </row>
    <row r="41" spans="1:6" ht="12.75" customHeight="1">
      <c r="A41" s="33"/>
      <c r="B41" s="33"/>
      <c r="C41" s="33"/>
      <c r="D41" s="19"/>
      <c r="E41" s="19"/>
      <c r="F41" s="34"/>
    </row>
    <row r="42" s="42" customFormat="1" ht="15.75">
      <c r="A42" s="41" t="s">
        <v>37</v>
      </c>
    </row>
    <row r="43" ht="12.75" customHeight="1">
      <c r="A43" s="4"/>
    </row>
    <row r="44" ht="12.75" customHeight="1" thickBot="1">
      <c r="A44" s="4"/>
    </row>
    <row r="45" spans="1:9" ht="12.75" customHeight="1">
      <c r="A45" s="167" t="s">
        <v>32</v>
      </c>
      <c r="B45" s="168"/>
      <c r="C45" s="169"/>
      <c r="D45" s="173" t="s">
        <v>43</v>
      </c>
      <c r="E45" s="174"/>
      <c r="F45" s="175" t="s">
        <v>16</v>
      </c>
      <c r="G45" s="176"/>
      <c r="H45" s="176"/>
      <c r="I45" s="177"/>
    </row>
    <row r="46" spans="1:9" ht="12.75" customHeight="1">
      <c r="A46" s="170"/>
      <c r="B46" s="171"/>
      <c r="C46" s="172"/>
      <c r="D46" s="178" t="s">
        <v>46</v>
      </c>
      <c r="E46" s="179"/>
      <c r="F46" s="180" t="s">
        <v>35</v>
      </c>
      <c r="G46" s="181"/>
      <c r="H46" s="181" t="s">
        <v>36</v>
      </c>
      <c r="I46" s="182"/>
    </row>
    <row r="47" spans="1:9" ht="22.5">
      <c r="A47" s="170"/>
      <c r="B47" s="171"/>
      <c r="C47" s="172"/>
      <c r="D47" s="63" t="s">
        <v>11</v>
      </c>
      <c r="E47" s="23" t="s">
        <v>34</v>
      </c>
      <c r="F47" s="60" t="s">
        <v>15</v>
      </c>
      <c r="G47" s="22" t="s">
        <v>13</v>
      </c>
      <c r="H47" s="22" t="s">
        <v>15</v>
      </c>
      <c r="I47" s="74" t="s">
        <v>13</v>
      </c>
    </row>
    <row r="48" spans="1:9" ht="12.75" customHeight="1">
      <c r="A48" s="201" t="s">
        <v>18</v>
      </c>
      <c r="B48" s="202"/>
      <c r="C48" s="203"/>
      <c r="D48" s="64">
        <f>IF(G48+I48=0,0,(D49*(G49+I49)+D50*(G50+I50)+D51*(G51+I51)+D52*(G52+I52)+D53*(G53+I53))/(G48+I48))</f>
        <v>0</v>
      </c>
      <c r="E48" s="65">
        <f>IF(I48=0,0,(E49*I49+E50*I50+E51*I51+E52*I52+E53*I53)/I48)</f>
        <v>0</v>
      </c>
      <c r="F48" s="61">
        <f>SUM(F49:F53)</f>
        <v>0</v>
      </c>
      <c r="G48" s="24">
        <f>SUM(G49:G53)</f>
        <v>0</v>
      </c>
      <c r="H48" s="25">
        <f>SUM(H49:H53)</f>
        <v>0</v>
      </c>
      <c r="I48" s="95">
        <f>SUM(I49:I53)</f>
        <v>0</v>
      </c>
    </row>
    <row r="49" spans="1:9" ht="12.75" customHeight="1">
      <c r="A49" s="98"/>
      <c r="B49" s="99" t="s">
        <v>0</v>
      </c>
      <c r="C49" s="19" t="s">
        <v>7</v>
      </c>
      <c r="D49" s="66">
        <f>IF(F49+H49=0,0,SUMIF(xehet2!S:S,20,xehet2!T:T)/SUMIF(xehet2!S:S,20,xehet2!D:D))</f>
        <v>0</v>
      </c>
      <c r="E49" s="38">
        <f>IF(H49=0,0,SUMIF(xehet2!V:V,220,xehet2!T:T)/SUMIF(xehet2!V:V,220,xehet2!D:D))</f>
        <v>0</v>
      </c>
      <c r="F49" s="39">
        <f>COUNTIF(xehet2!V:V,120)</f>
        <v>0</v>
      </c>
      <c r="G49" s="26">
        <f>SUMIF(xehet2!V:V,120,xehet2!D:D)</f>
        <v>0</v>
      </c>
      <c r="H49" s="27">
        <f>COUNTIF(xehet2!V:V,220)</f>
        <v>0</v>
      </c>
      <c r="I49" s="85">
        <f>SUMIF(xehet2!V:V,220,xehet2!D:D)</f>
        <v>0</v>
      </c>
    </row>
    <row r="50" spans="1:9" ht="12.75" customHeight="1">
      <c r="A50" s="98"/>
      <c r="B50" s="99" t="s">
        <v>1</v>
      </c>
      <c r="C50" s="19" t="s">
        <v>89</v>
      </c>
      <c r="D50" s="66">
        <f>IF(F50+H50=0,0,SUMIF(xehet2!S:S,21,xehet2!T:T)/SUMIF(xehet2!S:S,21,xehet2!D:D))</f>
        <v>0</v>
      </c>
      <c r="E50" s="38">
        <f>IF(H50=0,0,SUMIF(xehet2!V:V,221,xehet2!T:T)/SUMIF(xehet2!V:V,221,xehet2!D:D))</f>
        <v>0</v>
      </c>
      <c r="F50" s="39">
        <f>COUNTIF(xehet2!V:V,121)</f>
        <v>0</v>
      </c>
      <c r="G50" s="26">
        <f>SUMIF(xehet2!V:V,121,xehet2!D:D)</f>
        <v>0</v>
      </c>
      <c r="H50" s="27">
        <f>COUNTIF(xehet2!V:V,221)</f>
        <v>0</v>
      </c>
      <c r="I50" s="85">
        <f>SUMIF(xehet2!V:V,221,xehet2!D:D)</f>
        <v>0</v>
      </c>
    </row>
    <row r="51" spans="1:9" ht="12.75" customHeight="1">
      <c r="A51" s="98"/>
      <c r="B51" s="99" t="s">
        <v>2</v>
      </c>
      <c r="C51" s="19" t="s">
        <v>90</v>
      </c>
      <c r="D51" s="66">
        <f>IF(F51+H51=0,0,SUMIF(xehet2!S:S,22,xehet2!T:T)/SUMIF(xehet2!S:S,22,xehet2!D:D))</f>
        <v>0</v>
      </c>
      <c r="E51" s="38">
        <f>IF(H51=0,0,SUMIF(xehet2!V:V,222,xehet2!T:T)/SUMIF(xehet2!V:V,222,xehet2!D:D))</f>
        <v>0</v>
      </c>
      <c r="F51" s="39">
        <f>COUNTIF(xehet2!V:V,122)</f>
        <v>0</v>
      </c>
      <c r="G51" s="26">
        <f>SUMIF(xehet2!V:V,122,xehet2!D:D)</f>
        <v>0</v>
      </c>
      <c r="H51" s="27">
        <f>COUNTIF(xehet2!V:V,222)</f>
        <v>0</v>
      </c>
      <c r="I51" s="85">
        <f>SUMIF(xehet2!V:V,222,xehet2!D:D)</f>
        <v>0</v>
      </c>
    </row>
    <row r="52" spans="1:9" ht="12.75" customHeight="1">
      <c r="A52" s="98"/>
      <c r="B52" s="99" t="s">
        <v>3</v>
      </c>
      <c r="C52" s="19" t="s">
        <v>91</v>
      </c>
      <c r="D52" s="66">
        <f>IF(F52+H52=0,0,SUMIF(xehet2!S:S,23,xehet2!T:T)/SUMIF(xehet2!S:S,23,xehet2!D:D))</f>
        <v>0</v>
      </c>
      <c r="E52" s="38">
        <f>IF(H52=0,0,SUMIF(xehet2!V:V,223,xehet2!T:T)/SUMIF(xehet2!V:V,223,xehet2!D:D))</f>
        <v>0</v>
      </c>
      <c r="F52" s="39">
        <f>COUNTIF(xehet2!V:V,123)</f>
        <v>0</v>
      </c>
      <c r="G52" s="26">
        <f>SUMIF(xehet2!V:V,123,xehet2!D:D)</f>
        <v>0</v>
      </c>
      <c r="H52" s="27">
        <f>COUNTIF(xehet2!V:V,223)</f>
        <v>0</v>
      </c>
      <c r="I52" s="85">
        <f>SUMIF(xehet2!V:V,223,xehet2!D:D)</f>
        <v>0</v>
      </c>
    </row>
    <row r="53" spans="1:9" ht="12.75" customHeight="1">
      <c r="A53" s="98"/>
      <c r="B53" s="99" t="s">
        <v>104</v>
      </c>
      <c r="C53" s="19" t="s">
        <v>23</v>
      </c>
      <c r="D53" s="66">
        <f>IF(F53+H53=0,0,SUMIF(xehet2!S:S,29,xehet2!T:T)/SUMIF(xehet2!S:S,29,xehet2!D:D))</f>
        <v>0</v>
      </c>
      <c r="E53" s="38">
        <f>IF(H53=0,0,SUMIF(xehet2!V:V,229,xehet2!T:T)/SUMIF(xehet2!V:V,229,xehet2!D:D))</f>
        <v>0</v>
      </c>
      <c r="F53" s="39">
        <f>COUNTIF(xehet2!V:V,129)</f>
        <v>0</v>
      </c>
      <c r="G53" s="26">
        <f>SUMIF(xehet2!V:V,129,xehet2!D:D)</f>
        <v>0</v>
      </c>
      <c r="H53" s="27">
        <f>COUNTIF(xehet2!V:V,229)</f>
        <v>0</v>
      </c>
      <c r="I53" s="85">
        <f>SUMIF(xehet2!V:V,229,xehet2!D:D)</f>
        <v>0</v>
      </c>
    </row>
    <row r="54" spans="1:9" ht="12.75" customHeight="1">
      <c r="A54" s="183" t="s">
        <v>10</v>
      </c>
      <c r="B54" s="184"/>
      <c r="C54" s="184"/>
      <c r="D54" s="64">
        <f aca="true" t="shared" si="2" ref="D54:I54">D55</f>
        <v>0</v>
      </c>
      <c r="E54" s="65">
        <f t="shared" si="2"/>
        <v>0</v>
      </c>
      <c r="F54" s="62">
        <f t="shared" si="2"/>
        <v>0</v>
      </c>
      <c r="G54" s="29">
        <f t="shared" si="2"/>
        <v>0</v>
      </c>
      <c r="H54" s="28">
        <f t="shared" si="2"/>
        <v>0</v>
      </c>
      <c r="I54" s="95">
        <f t="shared" si="2"/>
        <v>0</v>
      </c>
    </row>
    <row r="55" spans="1:9" ht="12.75" customHeight="1">
      <c r="A55" s="98"/>
      <c r="B55" s="132">
        <v>69</v>
      </c>
      <c r="C55" s="101" t="s">
        <v>27</v>
      </c>
      <c r="D55" s="66">
        <f>IF(F55+H55=0,0,SUMIF(xehet2!S:S,69,xehet2!T:T)/SUMIF(xehet2!S:S,69,xehet2!D:D))</f>
        <v>0</v>
      </c>
      <c r="E55" s="38">
        <f>IF(H55=0,0,SUMIF(xehet2!V:V,269,xehet2!T:T)/SUMIF(xehet2!V:V,269,xehet2!D:D))</f>
        <v>0</v>
      </c>
      <c r="F55" s="39">
        <f>COUNTIF(xehet2!V:V,169)</f>
        <v>0</v>
      </c>
      <c r="G55" s="26">
        <f>SUMIF(xehet2!V:V,169,xehet2!D:D)</f>
        <v>0</v>
      </c>
      <c r="H55" s="27">
        <f>COUNTIF(xehet2!V:V,269)</f>
        <v>0</v>
      </c>
      <c r="I55" s="85">
        <f>SUMIF(xehet2!V:V,269,xehet2!D:D)</f>
        <v>0</v>
      </c>
    </row>
    <row r="56" spans="1:9" ht="12.75" customHeight="1">
      <c r="A56" s="204" t="s">
        <v>67</v>
      </c>
      <c r="B56" s="205"/>
      <c r="C56" s="206"/>
      <c r="D56" s="64">
        <f aca="true" t="shared" si="3" ref="D56:I56">D57</f>
        <v>0</v>
      </c>
      <c r="E56" s="65">
        <f t="shared" si="3"/>
        <v>0</v>
      </c>
      <c r="F56" s="62">
        <f t="shared" si="3"/>
        <v>0</v>
      </c>
      <c r="G56" s="29">
        <f t="shared" si="3"/>
        <v>0</v>
      </c>
      <c r="H56" s="28">
        <f t="shared" si="3"/>
        <v>0</v>
      </c>
      <c r="I56" s="95">
        <f t="shared" si="3"/>
        <v>0</v>
      </c>
    </row>
    <row r="57" spans="1:9" ht="12.75" customHeight="1">
      <c r="A57" s="98"/>
      <c r="B57" s="207" t="s">
        <v>20</v>
      </c>
      <c r="C57" s="208"/>
      <c r="D57" s="106"/>
      <c r="E57" s="107"/>
      <c r="F57" s="108"/>
      <c r="G57" s="109"/>
      <c r="H57" s="110"/>
      <c r="I57" s="111"/>
    </row>
    <row r="58" spans="1:9" ht="12.75" customHeight="1" thickBot="1">
      <c r="A58" s="209" t="s">
        <v>11</v>
      </c>
      <c r="B58" s="210"/>
      <c r="C58" s="211"/>
      <c r="D58" s="75">
        <f>IF(G58+I58=0,0,(D48*(G48+I48)+D54*(G54+I54)+D56*(G56+I56))/(G58+I58))</f>
        <v>0</v>
      </c>
      <c r="E58" s="76">
        <f>IF(I58=0,0,(E48*I48+E54*I54+E56*I56)/I58)</f>
        <v>0</v>
      </c>
      <c r="F58" s="77">
        <f>F48+F54+F56</f>
        <v>0</v>
      </c>
      <c r="G58" s="78">
        <f>G48+G54+G56</f>
        <v>0</v>
      </c>
      <c r="H58" s="79">
        <f>H48+H54+H56</f>
        <v>0</v>
      </c>
      <c r="I58" s="82">
        <f>I48+I54+I56</f>
        <v>0</v>
      </c>
    </row>
    <row r="59" spans="1:9" ht="12.75" customHeight="1">
      <c r="A59" s="2" t="s">
        <v>68</v>
      </c>
      <c r="D59" s="72">
        <f>IF(SUM(xehet2!D:D)=0,0,SUM(xehet2!T:T)/SUM(xehet2!D:D))-IF((G48+I48+G54+I54)=0,0,(D48*(G48+I48)+D54*(G54+I54))/(G48+I48+G54+I54))</f>
        <v>0</v>
      </c>
      <c r="E59" s="72">
        <f>IF(SUMIF(xehet2!V:V,"&gt;199",xehet2!D:D)=0,0,SUMIF(xehet2!V:V,"&gt;199",xehet2!T:T)/SUMIF(xehet2!V:V,"&gt;199",xehet2!D:D))-IF(I48+I54=0,0,(E48*I48+E54*I54)/(I48+I54))</f>
        <v>0</v>
      </c>
      <c r="F59" s="72">
        <f>COUNTIF(xehet2!P:P,"&lt;=30")-F58+F57</f>
        <v>0</v>
      </c>
      <c r="G59" s="72">
        <f>SUMIF(xehet2!P:P,"&lt;=30",xehet2!D:D)-G58+G57</f>
        <v>0</v>
      </c>
      <c r="H59" s="72">
        <f>COUNTIF(xehet2!P:P,"&gt;30")-H58+H57</f>
        <v>0</v>
      </c>
      <c r="I59" s="72">
        <f>SUMIF(xehet2!P:P,"&gt;30",xehet2!D:D)-I58+I57</f>
        <v>0</v>
      </c>
    </row>
    <row r="60" spans="4:9" ht="12.75" customHeight="1">
      <c r="D60" s="34"/>
      <c r="E60" s="34"/>
      <c r="F60" s="34"/>
      <c r="G60" s="34"/>
      <c r="H60" s="34"/>
      <c r="I60" s="34"/>
    </row>
    <row r="63" spans="1:9" s="42" customFormat="1" ht="15.75">
      <c r="A63" s="56" t="s">
        <v>64</v>
      </c>
      <c r="B63" s="57"/>
      <c r="C63" s="57"/>
      <c r="D63" s="57"/>
      <c r="E63" s="57"/>
      <c r="F63" s="57"/>
      <c r="G63" s="57"/>
      <c r="H63" s="57"/>
      <c r="I63" s="57"/>
    </row>
    <row r="64" spans="1:9" ht="12.75" customHeight="1">
      <c r="A64" s="35"/>
      <c r="B64" s="34"/>
      <c r="C64" s="34"/>
      <c r="D64" s="34"/>
      <c r="E64" s="34"/>
      <c r="F64" s="34"/>
      <c r="G64" s="34"/>
      <c r="H64" s="34"/>
      <c r="I64" s="34"/>
    </row>
    <row r="65" spans="1:9" ht="12.75" customHeight="1">
      <c r="A65" s="35"/>
      <c r="B65" s="34"/>
      <c r="C65" s="34"/>
      <c r="D65" s="34"/>
      <c r="E65" s="34"/>
      <c r="F65" s="34"/>
      <c r="G65" s="34"/>
      <c r="H65" s="34"/>
      <c r="I65" s="34"/>
    </row>
    <row r="66" s="18" customFormat="1" ht="13.5" thickBot="1">
      <c r="A66" s="1" t="s">
        <v>38</v>
      </c>
    </row>
    <row r="67" spans="1:7" ht="33.75">
      <c r="A67" s="167" t="s">
        <v>31</v>
      </c>
      <c r="B67" s="168"/>
      <c r="C67" s="188"/>
      <c r="D67" s="83" t="s">
        <v>45</v>
      </c>
      <c r="E67" s="73" t="s">
        <v>17</v>
      </c>
      <c r="F67" s="84" t="s">
        <v>13</v>
      </c>
      <c r="G67" s="36"/>
    </row>
    <row r="68" spans="1:6" ht="12.75" customHeight="1">
      <c r="A68" s="105"/>
      <c r="B68" s="212" t="s">
        <v>18</v>
      </c>
      <c r="C68" s="213"/>
      <c r="D68" s="67">
        <f>IF(E68=0,0,SUMIF(xehet32!T:T,22,xehet32!R:R)/SUMIF(xehet32!T:T,22,xehet32!D:D))</f>
        <v>0</v>
      </c>
      <c r="E68" s="37">
        <f>COUNTIF(xehet32!T:T,22)</f>
        <v>0</v>
      </c>
      <c r="F68" s="85">
        <f>SUMIF(xehet32!T:T,22,xehet32!D:D)</f>
        <v>0</v>
      </c>
    </row>
    <row r="69" spans="1:6" ht="12.75" customHeight="1">
      <c r="A69" s="98"/>
      <c r="B69" s="195" t="s">
        <v>10</v>
      </c>
      <c r="C69" s="196"/>
      <c r="D69" s="67">
        <f>IF(E69=0,0,SUMIF(xehet32!T:T,26,xehet32!R:R)/SUMIF(xehet32!T:T,26,xehet32!D:D))</f>
        <v>0</v>
      </c>
      <c r="E69" s="37">
        <f>COUNTIF(xehet32!T:T,26)</f>
        <v>0</v>
      </c>
      <c r="F69" s="85">
        <f>SUMIF(xehet32!T:T,26,xehet32!D:D)</f>
        <v>0</v>
      </c>
    </row>
    <row r="70" spans="1:6" ht="12.75" customHeight="1">
      <c r="A70" s="104"/>
      <c r="B70" s="185" t="s">
        <v>20</v>
      </c>
      <c r="C70" s="197"/>
      <c r="D70" s="67">
        <f>IF(E70=0,0,SUMIF(xehet32!T:T,29,xehet32!R:R)/SUMIF(xehet32!T:T,29,xehet32!D:D))</f>
        <v>0</v>
      </c>
      <c r="E70" s="37">
        <f>COUNTIF(xehet32!T:T,29)</f>
        <v>0</v>
      </c>
      <c r="F70" s="85">
        <f>SUMIF(xehet32!T:T,29,xehet32!D:D)</f>
        <v>0</v>
      </c>
    </row>
    <row r="71" spans="1:6" ht="12.75" customHeight="1" thickBot="1">
      <c r="A71" s="214" t="s">
        <v>11</v>
      </c>
      <c r="B71" s="215"/>
      <c r="C71" s="216"/>
      <c r="D71" s="86">
        <f>IF(F71=0,0,(D68*F68+D69*F69+D70*F70)/F71)</f>
        <v>0</v>
      </c>
      <c r="E71" s="79">
        <f>SUM(E68:E70)</f>
        <v>0</v>
      </c>
      <c r="F71" s="87">
        <f>SUM(F68:F70)</f>
        <v>0</v>
      </c>
    </row>
    <row r="72" spans="4:6" ht="12.75" customHeight="1">
      <c r="D72" s="72">
        <f>IF(D73=0,0,(SUMIF(xehet32!O:O,"&gt;90",xehet32!R:R)/SUMIF(xehet32!O:O,"&gt;90",xehet32!D:D)))-IF(D71="",0,D71)</f>
        <v>0</v>
      </c>
      <c r="E72" s="72">
        <f>COUNTIF(xehet32!O:O,"&gt;90")-E71</f>
        <v>0</v>
      </c>
      <c r="F72" s="72">
        <f>SUMIF(xehet32!O:O,"&gt;90",xehet32!D:D)-F71</f>
        <v>0</v>
      </c>
    </row>
    <row r="73" spans="4:6" ht="12.75" customHeight="1">
      <c r="D73" s="113">
        <f>SUMIF(xehet32!O:O,"&gt;90",xehet32!D:D)</f>
        <v>0</v>
      </c>
      <c r="E73" s="34"/>
      <c r="F73" s="34"/>
    </row>
    <row r="74" s="18" customFormat="1" ht="13.5" thickBot="1">
      <c r="A74" s="1" t="s">
        <v>47</v>
      </c>
    </row>
    <row r="75" spans="1:7" ht="12.75" customHeight="1">
      <c r="A75" s="167" t="s">
        <v>48</v>
      </c>
      <c r="B75" s="168"/>
      <c r="C75" s="188"/>
      <c r="D75" s="190" t="s">
        <v>65</v>
      </c>
      <c r="E75" s="191"/>
      <c r="F75" s="191"/>
      <c r="G75" s="192"/>
    </row>
    <row r="76" spans="1:7" ht="12.75" customHeight="1">
      <c r="A76" s="170"/>
      <c r="B76" s="171"/>
      <c r="C76" s="189"/>
      <c r="D76" s="60" t="s">
        <v>58</v>
      </c>
      <c r="E76" s="22" t="s">
        <v>59</v>
      </c>
      <c r="F76" s="22" t="s">
        <v>13</v>
      </c>
      <c r="G76" s="74" t="s">
        <v>59</v>
      </c>
    </row>
    <row r="77" spans="1:7" ht="12.75" customHeight="1">
      <c r="A77" s="105"/>
      <c r="B77" s="212" t="s">
        <v>39</v>
      </c>
      <c r="C77" s="213"/>
      <c r="D77" s="39">
        <f>COUNTIF(xehet32!O:O,"&lt;=30")</f>
        <v>37</v>
      </c>
      <c r="E77" s="40">
        <f>IF($D$81=0,0,D77*100/$D$81)</f>
        <v>100</v>
      </c>
      <c r="F77" s="26">
        <f>SUMIF(xehet32!O:O,"&lt;=30",xehet32!D:D)</f>
        <v>27806.999999999996</v>
      </c>
      <c r="G77" s="88">
        <f>IF($F$81=0,0,F77*100/$F$81)</f>
        <v>100</v>
      </c>
    </row>
    <row r="78" spans="1:7" ht="12.75" customHeight="1">
      <c r="A78" s="98"/>
      <c r="B78" s="195" t="s">
        <v>40</v>
      </c>
      <c r="C78" s="196"/>
      <c r="D78" s="39">
        <f>COUNTIF(xehet32!O:O,"&lt;=60")-D77</f>
        <v>0</v>
      </c>
      <c r="E78" s="40">
        <f>IF($D$81=0,0,D78*100/$D$81)</f>
        <v>0</v>
      </c>
      <c r="F78" s="26">
        <f>SUMIF(xehet32!O:O,"&lt;=60",xehet32!D:D)-F77</f>
        <v>0</v>
      </c>
      <c r="G78" s="88">
        <f>IF($F$81=0,0,F78*100/$F$81)</f>
        <v>0</v>
      </c>
    </row>
    <row r="79" spans="1:7" ht="12.75" customHeight="1">
      <c r="A79" s="98"/>
      <c r="B79" s="193" t="s">
        <v>41</v>
      </c>
      <c r="C79" s="194"/>
      <c r="D79" s="39">
        <f>COUNTIF(xehet32!O:O,"&lt;=90")-SUM(D77:D78)</f>
        <v>0</v>
      </c>
      <c r="E79" s="40">
        <f>IF($D$81=0,0,D79*100/$D$81)</f>
        <v>0</v>
      </c>
      <c r="F79" s="26">
        <f>SUMIF(xehet32!O:O,"&lt;=90",xehet32!D:D)-SUM(F77:F78)</f>
        <v>0</v>
      </c>
      <c r="G79" s="88">
        <f>IF($F$81=0,0,F79*100/$F$81)</f>
        <v>0</v>
      </c>
    </row>
    <row r="80" spans="1:7" ht="12.75" customHeight="1">
      <c r="A80" s="98"/>
      <c r="B80" s="193" t="s">
        <v>42</v>
      </c>
      <c r="C80" s="194"/>
      <c r="D80" s="39">
        <f>COUNTIF(xehet32!O:O,"&gt;90")</f>
        <v>0</v>
      </c>
      <c r="E80" s="40">
        <f>IF($D$81=0,0,D80*100/$D$81)</f>
        <v>0</v>
      </c>
      <c r="F80" s="26">
        <f>SUMIF(xehet32!O:O,"&gt;90",xehet32!D:D)</f>
        <v>0</v>
      </c>
      <c r="G80" s="88">
        <f>IF($F$81=0,0,F80*100/$F$81)</f>
        <v>0</v>
      </c>
    </row>
    <row r="81" spans="1:7" ht="12.75" customHeight="1" thickBot="1">
      <c r="A81" s="219" t="s">
        <v>11</v>
      </c>
      <c r="B81" s="220"/>
      <c r="C81" s="221"/>
      <c r="D81" s="77">
        <f>SUM(D77:D80)</f>
        <v>37</v>
      </c>
      <c r="E81" s="89">
        <f>SUM(E77:E80)</f>
        <v>100</v>
      </c>
      <c r="F81" s="78">
        <f>SUM(F77:F80)</f>
        <v>27806.999999999996</v>
      </c>
      <c r="G81" s="90">
        <f>SUM(G77:G80)</f>
        <v>100</v>
      </c>
    </row>
    <row r="82" spans="1:7" ht="12.75" customHeight="1">
      <c r="A82" s="33"/>
      <c r="B82" s="33"/>
      <c r="C82" s="33"/>
      <c r="D82" s="72">
        <f>COUNT(xehet32!D:D)-D81</f>
        <v>18</v>
      </c>
      <c r="E82" s="72"/>
      <c r="F82" s="72">
        <f>SUM(xehet32!D:D)-F81</f>
        <v>7450.679999999997</v>
      </c>
      <c r="G82" s="34"/>
    </row>
    <row r="83" spans="1:7" ht="12.75" customHeight="1">
      <c r="A83" s="33"/>
      <c r="B83" s="33"/>
      <c r="C83" s="33"/>
      <c r="D83" s="72">
        <f>E71-D80</f>
        <v>0</v>
      </c>
      <c r="E83" s="72"/>
      <c r="F83" s="72"/>
      <c r="G83" s="34"/>
    </row>
    <row r="84" spans="1:7" ht="12.75" customHeight="1">
      <c r="A84" s="33"/>
      <c r="B84" s="33"/>
      <c r="C84" s="33"/>
      <c r="D84" s="19"/>
      <c r="E84" s="19"/>
      <c r="F84" s="34"/>
      <c r="G84" s="34"/>
    </row>
    <row r="85" spans="1:5" s="42" customFormat="1" ht="15.75">
      <c r="A85" s="56" t="s">
        <v>49</v>
      </c>
      <c r="B85" s="58"/>
      <c r="C85" s="58"/>
      <c r="D85" s="59"/>
      <c r="E85" s="59"/>
    </row>
    <row r="86" spans="1:5" ht="12.75" customHeight="1">
      <c r="A86" s="35"/>
      <c r="B86" s="33"/>
      <c r="C86" s="33"/>
      <c r="D86" s="19"/>
      <c r="E86" s="19"/>
    </row>
    <row r="87" ht="12.75" customHeight="1" thickBot="1"/>
    <row r="88" spans="1:8" ht="12.75" customHeight="1">
      <c r="A88" s="222" t="s">
        <v>51</v>
      </c>
      <c r="B88" s="223"/>
      <c r="C88" s="224"/>
      <c r="D88" s="233" t="s">
        <v>53</v>
      </c>
      <c r="E88" s="234"/>
      <c r="F88" s="233" t="s">
        <v>54</v>
      </c>
      <c r="G88" s="234"/>
      <c r="H88" s="228" t="s">
        <v>50</v>
      </c>
    </row>
    <row r="89" spans="1:8" ht="12.75" customHeight="1">
      <c r="A89" s="225"/>
      <c r="B89" s="226"/>
      <c r="C89" s="227"/>
      <c r="D89" s="68" t="s">
        <v>52</v>
      </c>
      <c r="E89" s="69" t="s">
        <v>44</v>
      </c>
      <c r="F89" s="68" t="s">
        <v>52</v>
      </c>
      <c r="G89" s="69" t="s">
        <v>44</v>
      </c>
      <c r="H89" s="229"/>
    </row>
    <row r="90" spans="1:8" ht="12.75" customHeight="1" thickBot="1">
      <c r="A90" s="230" t="str">
        <f>D3</f>
        <v>OARSOALDEA</v>
      </c>
      <c r="B90" s="231"/>
      <c r="C90" s="232"/>
      <c r="D90" s="91">
        <f>IF((SUM(xehet1!D:D)+G24+I24)=0,0,(SUM(xehet1!U:U)+D24*(G24+I24))/(SUM(xehet1!D:D)+G24+I24))</f>
        <v>-24.04499740351452</v>
      </c>
      <c r="E90" s="92">
        <f>SUM(xehet1!D:D)+G24+I24</f>
        <v>183748.37999999995</v>
      </c>
      <c r="F90" s="91">
        <f>IF((SUM(xehet2!D:D)+SUM(xehet32!D:D)+G56+I56)=0,0,(SUM(xehet2!U:U)+SUM(xehet32!S:S)+D56*(G56+I56))/(SUM(xehet2!D:D)+SUM(xehet32!D:D)+G56+I56))</f>
        <v>0</v>
      </c>
      <c r="G90" s="92">
        <f>SUM(xehet2!D:D)+SUM(xehet32!D:D)+G56+I56</f>
        <v>35257.67999999999</v>
      </c>
      <c r="H90" s="93">
        <f>IF(E90=0,F90,IF(G90=0,D90,(D90*E90+F90*G90)/(E90+G90)))</f>
        <v>-20.174004865436142</v>
      </c>
    </row>
    <row r="91" spans="4:8" ht="12.75" customHeight="1">
      <c r="D91" s="31"/>
      <c r="E91" s="72">
        <f>E90-F38</f>
        <v>0</v>
      </c>
      <c r="F91" s="72"/>
      <c r="G91" s="72">
        <f>G90-G58-I58-F81</f>
        <v>7450.679999999997</v>
      </c>
      <c r="H91" s="72">
        <f>IF(H92=0,0,(SUM(xehet1!U:U)+SUM(xehet2!U:U)+SUM(xehet32!S:S)+D24*(G24+I24)+D56*(G56+I56))/(SUM(xehet1!D:D)+SUM(xehet2!D:D)+SUM(xehet32!D:D)+G24+I24+G56+I56))-IF(H90="",0,H90)</f>
        <v>0</v>
      </c>
    </row>
    <row r="92" spans="1:8" ht="12.75" customHeight="1" thickBot="1">
      <c r="A92" s="4" t="s">
        <v>55</v>
      </c>
      <c r="E92" s="34"/>
      <c r="F92" s="34"/>
      <c r="G92" s="34"/>
      <c r="H92" s="114">
        <f>(SUM(xehet1!D:D)+SUM(xehet2!D:D)+SUM(xehet32!D:D)+G24+I24+G56+I56)</f>
        <v>219006.05999999994</v>
      </c>
    </row>
    <row r="93" spans="2:8" ht="43.5" customHeight="1" thickBot="1">
      <c r="B93" s="217"/>
      <c r="C93" s="218"/>
      <c r="E93" s="34"/>
      <c r="F93" s="34"/>
      <c r="G93" s="34"/>
      <c r="H93" s="34"/>
    </row>
  </sheetData>
  <sheetProtection/>
  <mergeCells count="50">
    <mergeCell ref="D75:G75"/>
    <mergeCell ref="B93:C93"/>
    <mergeCell ref="A81:C81"/>
    <mergeCell ref="A88:C89"/>
    <mergeCell ref="H88:H89"/>
    <mergeCell ref="A90:C90"/>
    <mergeCell ref="D88:E88"/>
    <mergeCell ref="F88:G88"/>
    <mergeCell ref="B77:C77"/>
    <mergeCell ref="B78:C78"/>
    <mergeCell ref="B79:C79"/>
    <mergeCell ref="B80:C80"/>
    <mergeCell ref="A58:C58"/>
    <mergeCell ref="A67:C67"/>
    <mergeCell ref="B68:C68"/>
    <mergeCell ref="B69:C69"/>
    <mergeCell ref="B70:C70"/>
    <mergeCell ref="A71:C71"/>
    <mergeCell ref="A75:C76"/>
    <mergeCell ref="A45:C47"/>
    <mergeCell ref="D45:E45"/>
    <mergeCell ref="A48:C48"/>
    <mergeCell ref="A54:C54"/>
    <mergeCell ref="A56:C56"/>
    <mergeCell ref="B57:C57"/>
    <mergeCell ref="F45:I45"/>
    <mergeCell ref="D46:E46"/>
    <mergeCell ref="F46:G46"/>
    <mergeCell ref="H46:I46"/>
    <mergeCell ref="D31:G31"/>
    <mergeCell ref="B33:C33"/>
    <mergeCell ref="B34:C34"/>
    <mergeCell ref="B36:C36"/>
    <mergeCell ref="B37:C37"/>
    <mergeCell ref="A38:C38"/>
    <mergeCell ref="A16:C16"/>
    <mergeCell ref="A22:C22"/>
    <mergeCell ref="A24:C24"/>
    <mergeCell ref="B25:C25"/>
    <mergeCell ref="A26:C26"/>
    <mergeCell ref="A31:C32"/>
    <mergeCell ref="A1:B1"/>
    <mergeCell ref="A2:I2"/>
    <mergeCell ref="D3:G3"/>
    <mergeCell ref="A13:C15"/>
    <mergeCell ref="D13:E13"/>
    <mergeCell ref="F13:I13"/>
    <mergeCell ref="D14:E14"/>
    <mergeCell ref="F14:G14"/>
    <mergeCell ref="H14:I14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17:D21 D23 D49:D53 D55 D68:D70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56 D22 D24 D48 D54">
    <cfRule type="expression" priority="5" dxfId="3" stopIfTrue="1">
      <formula>F22+H22=0</formula>
    </cfRule>
  </conditionalFormatting>
  <conditionalFormatting sqref="E16 E22 E24 E48 E54 E56">
    <cfRule type="expression" priority="6" dxfId="3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3" stopIfTrue="1">
      <formula>$D$38=0</formula>
    </cfRule>
  </conditionalFormatting>
  <conditionalFormatting sqref="G38">
    <cfRule type="expression" priority="9" dxfId="3" stopIfTrue="1">
      <formula>$F$38=0</formula>
    </cfRule>
  </conditionalFormatting>
  <conditionalFormatting sqref="A1:B1 E91:H91 D39:F40 D59:I59 D72:F72 D82:F83 H27:I27 E27:F27">
    <cfRule type="cellIs" priority="10" dxfId="0" operator="equal" stopIfTrue="1">
      <formula>0</formula>
    </cfRule>
  </conditionalFormatting>
  <conditionalFormatting sqref="D16">
    <cfRule type="expression" priority="11" dxfId="3" stopIfTrue="1">
      <formula>F16+H16=0</formula>
    </cfRule>
  </conditionalFormatting>
  <conditionalFormatting sqref="D26:E26 D58:E58">
    <cfRule type="cellIs" priority="12" dxfId="3" operator="equal" stopIfTrue="1">
      <formula>0</formula>
    </cfRule>
  </conditionalFormatting>
  <conditionalFormatting sqref="D27">
    <cfRule type="cellIs" priority="13" dxfId="0" operator="equal" stopIfTrue="1">
      <formula>0</formula>
    </cfRule>
    <cfRule type="expression" priority="14" dxfId="0" stopIfTrue="1">
      <formula>"SUMA(xehet1!D:D)=0"</formula>
    </cfRule>
  </conditionalFormatting>
  <conditionalFormatting sqref="G27">
    <cfRule type="cellIs" priority="15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38 G38" evalError="1"/>
    <ignoredError sqref="F23:I23 D55:E55 F55:I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2:Y233"/>
  <sheetViews>
    <sheetView zoomScalePageLayoutView="0" workbookViewId="0" topLeftCell="P1">
      <selection activeCell="Y14" sqref="Y14"/>
    </sheetView>
  </sheetViews>
  <sheetFormatPr defaultColWidth="9.140625" defaultRowHeight="12.75"/>
  <cols>
    <col min="1" max="1" width="13.7109375" style="2" customWidth="1"/>
    <col min="2" max="2" width="12.7109375" style="14" customWidth="1"/>
    <col min="3" max="3" width="28.00390625" style="127" bestFit="1" customWidth="1"/>
    <col min="4" max="4" width="12.57421875" style="8" customWidth="1"/>
    <col min="5" max="5" width="7.421875" style="2" bestFit="1" customWidth="1"/>
    <col min="6" max="6" width="11.28125" style="2" customWidth="1"/>
    <col min="7" max="7" width="14.281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1.421875" style="14" bestFit="1" customWidth="1"/>
    <col min="12" max="12" width="9.00390625" style="14" bestFit="1" customWidth="1"/>
    <col min="13" max="13" width="10.140625" style="14" bestFit="1" customWidth="1"/>
    <col min="14" max="14" width="10.7109375" style="14" bestFit="1" customWidth="1"/>
    <col min="15" max="16" width="10.140625" style="9" bestFit="1" customWidth="1"/>
    <col min="17" max="17" width="6.28125" style="9" bestFit="1" customWidth="1"/>
    <col min="18" max="18" width="6.7109375" style="9" customWidth="1"/>
    <col min="19" max="19" width="3.8515625" style="2" bestFit="1" customWidth="1"/>
    <col min="20" max="20" width="13.00390625" style="8" bestFit="1" customWidth="1"/>
    <col min="21" max="21" width="14.57421875" style="8" bestFit="1" customWidth="1"/>
    <col min="22" max="22" width="9.140625" style="133" customWidth="1"/>
    <col min="23" max="16384" width="9.140625" style="2" customWidth="1"/>
  </cols>
  <sheetData>
    <row r="2" spans="4:7" ht="11.25">
      <c r="D2" s="125" t="s">
        <v>102</v>
      </c>
      <c r="G2" s="130"/>
    </row>
    <row r="3" spans="1:10" ht="11.25">
      <c r="A3" s="3" t="s">
        <v>69</v>
      </c>
      <c r="B3" s="16"/>
      <c r="C3" s="128"/>
      <c r="D3" s="126" t="s">
        <v>103</v>
      </c>
      <c r="E3" s="4"/>
      <c r="F3" s="4"/>
      <c r="G3" s="4"/>
      <c r="H3" s="4"/>
      <c r="I3" s="4"/>
      <c r="J3" s="4"/>
    </row>
    <row r="4" spans="13:14" ht="11.25">
      <c r="M4" s="14" t="s">
        <v>105</v>
      </c>
      <c r="N4" s="14" t="s">
        <v>106</v>
      </c>
    </row>
    <row r="5" spans="1:22" ht="22.5">
      <c r="A5" s="5" t="s">
        <v>75</v>
      </c>
      <c r="B5" s="17" t="s">
        <v>70</v>
      </c>
      <c r="C5" s="129" t="s">
        <v>86</v>
      </c>
      <c r="D5" s="116" t="s">
        <v>44</v>
      </c>
      <c r="E5" s="5" t="s">
        <v>85</v>
      </c>
      <c r="F5" s="124" t="s">
        <v>71</v>
      </c>
      <c r="G5" s="124" t="s">
        <v>72</v>
      </c>
      <c r="H5" s="6" t="s">
        <v>83</v>
      </c>
      <c r="I5" s="6" t="s">
        <v>84</v>
      </c>
      <c r="J5" s="6" t="s">
        <v>73</v>
      </c>
      <c r="K5" s="117" t="s">
        <v>74</v>
      </c>
      <c r="L5" s="15" t="s">
        <v>76</v>
      </c>
      <c r="M5" s="117" t="s">
        <v>92</v>
      </c>
      <c r="N5" s="117" t="s">
        <v>93</v>
      </c>
      <c r="O5" s="10" t="s">
        <v>77</v>
      </c>
      <c r="P5" s="11" t="s">
        <v>78</v>
      </c>
      <c r="Q5" s="12" t="s">
        <v>79</v>
      </c>
      <c r="R5" s="13" t="s">
        <v>50</v>
      </c>
      <c r="S5" s="131" t="s">
        <v>94</v>
      </c>
      <c r="T5" s="8" t="s">
        <v>95</v>
      </c>
      <c r="U5" s="8" t="s">
        <v>96</v>
      </c>
      <c r="V5" s="133" t="s">
        <v>97</v>
      </c>
    </row>
    <row r="6" spans="1:25" s="138" customFormat="1" ht="12">
      <c r="A6" s="134" t="s">
        <v>109</v>
      </c>
      <c r="B6" s="135">
        <v>42919</v>
      </c>
      <c r="C6" s="134" t="s">
        <v>110</v>
      </c>
      <c r="D6" s="150">
        <v>40.14</v>
      </c>
      <c r="F6" s="139"/>
      <c r="J6" s="140"/>
      <c r="K6" s="135">
        <v>42922</v>
      </c>
      <c r="L6" s="135"/>
      <c r="M6" s="135">
        <f aca="true" t="shared" si="0" ref="M6:M58">+N6</f>
        <v>42933</v>
      </c>
      <c r="N6" s="135">
        <v>42933</v>
      </c>
      <c r="O6" s="141">
        <f aca="true" t="shared" si="1" ref="O6:O58">+M6-K6</f>
        <v>11</v>
      </c>
      <c r="P6" s="141">
        <f aca="true" t="shared" si="2" ref="P6:P58">+N6-M6</f>
        <v>0</v>
      </c>
      <c r="Q6" s="141">
        <f>+N6-K6</f>
        <v>11</v>
      </c>
      <c r="R6" s="141">
        <f>+Q6-30</f>
        <v>-19</v>
      </c>
      <c r="S6" s="138">
        <v>29</v>
      </c>
      <c r="T6" s="142">
        <f aca="true" t="shared" si="3" ref="T6:T58">+P6*D6</f>
        <v>0</v>
      </c>
      <c r="U6" s="142">
        <f>+R6*D6</f>
        <v>-762.66</v>
      </c>
      <c r="V6" s="140">
        <f>IF(P6&gt;30,200+S6,100+S6)</f>
        <v>129</v>
      </c>
      <c r="Y6" s="142"/>
    </row>
    <row r="7" spans="1:25" s="138" customFormat="1" ht="12">
      <c r="A7" s="134" t="s">
        <v>111</v>
      </c>
      <c r="B7" s="135">
        <v>42918</v>
      </c>
      <c r="C7" s="151" t="s">
        <v>112</v>
      </c>
      <c r="D7" s="152">
        <v>40.8</v>
      </c>
      <c r="J7" s="140"/>
      <c r="K7" s="135">
        <v>42922</v>
      </c>
      <c r="L7" s="135"/>
      <c r="M7" s="135">
        <f t="shared" si="0"/>
        <v>42933</v>
      </c>
      <c r="N7" s="135">
        <v>42933</v>
      </c>
      <c r="O7" s="141">
        <f t="shared" si="1"/>
        <v>11</v>
      </c>
      <c r="P7" s="141">
        <f t="shared" si="2"/>
        <v>0</v>
      </c>
      <c r="Q7" s="141">
        <f aca="true" t="shared" si="4" ref="Q7:Q58">+N7-K7</f>
        <v>11</v>
      </c>
      <c r="R7" s="141">
        <f aca="true" t="shared" si="5" ref="R7:R58">+Q7-30</f>
        <v>-19</v>
      </c>
      <c r="S7" s="138">
        <v>29</v>
      </c>
      <c r="T7" s="142">
        <f t="shared" si="3"/>
        <v>0</v>
      </c>
      <c r="U7" s="142">
        <f aca="true" t="shared" si="6" ref="U7:U59">+R7*D7</f>
        <v>-775.1999999999999</v>
      </c>
      <c r="V7" s="140">
        <f aca="true" t="shared" si="7" ref="V7:V59">IF(P7&gt;30,200+S7,100+S7)</f>
        <v>129</v>
      </c>
      <c r="Y7" s="142"/>
    </row>
    <row r="8" spans="1:25" s="138" customFormat="1" ht="12">
      <c r="A8" s="134" t="s">
        <v>113</v>
      </c>
      <c r="B8" s="135">
        <v>42918</v>
      </c>
      <c r="C8" s="151" t="s">
        <v>114</v>
      </c>
      <c r="D8" s="152">
        <v>40.8</v>
      </c>
      <c r="J8" s="140"/>
      <c r="K8" s="135">
        <v>42922</v>
      </c>
      <c r="L8" s="135"/>
      <c r="M8" s="135">
        <f t="shared" si="0"/>
        <v>42933</v>
      </c>
      <c r="N8" s="135">
        <v>42933</v>
      </c>
      <c r="O8" s="141">
        <f t="shared" si="1"/>
        <v>11</v>
      </c>
      <c r="P8" s="141">
        <f t="shared" si="2"/>
        <v>0</v>
      </c>
      <c r="Q8" s="141">
        <f t="shared" si="4"/>
        <v>11</v>
      </c>
      <c r="R8" s="141">
        <f t="shared" si="5"/>
        <v>-19</v>
      </c>
      <c r="S8" s="138">
        <v>29</v>
      </c>
      <c r="T8" s="142">
        <f t="shared" si="3"/>
        <v>0</v>
      </c>
      <c r="U8" s="142">
        <f t="shared" si="6"/>
        <v>-775.1999999999999</v>
      </c>
      <c r="V8" s="140">
        <f t="shared" si="7"/>
        <v>129</v>
      </c>
      <c r="Y8" s="142"/>
    </row>
    <row r="9" spans="1:25" s="138" customFormat="1" ht="12">
      <c r="A9" s="134" t="s">
        <v>115</v>
      </c>
      <c r="B9" s="135">
        <v>42918</v>
      </c>
      <c r="C9" s="151" t="s">
        <v>116</v>
      </c>
      <c r="D9" s="152">
        <v>31.3</v>
      </c>
      <c r="K9" s="135">
        <v>42922</v>
      </c>
      <c r="L9" s="135"/>
      <c r="M9" s="135">
        <f t="shared" si="0"/>
        <v>42933</v>
      </c>
      <c r="N9" s="135">
        <v>42933</v>
      </c>
      <c r="O9" s="141">
        <f t="shared" si="1"/>
        <v>11</v>
      </c>
      <c r="P9" s="141">
        <f t="shared" si="2"/>
        <v>0</v>
      </c>
      <c r="Q9" s="141">
        <f t="shared" si="4"/>
        <v>11</v>
      </c>
      <c r="R9" s="141">
        <f t="shared" si="5"/>
        <v>-19</v>
      </c>
      <c r="S9" s="138">
        <v>29</v>
      </c>
      <c r="T9" s="142">
        <f t="shared" si="3"/>
        <v>0</v>
      </c>
      <c r="U9" s="142">
        <f t="shared" si="6"/>
        <v>-594.7</v>
      </c>
      <c r="V9" s="140">
        <f t="shared" si="7"/>
        <v>129</v>
      </c>
      <c r="Y9" s="142"/>
    </row>
    <row r="10" spans="1:25" s="138" customFormat="1" ht="12">
      <c r="A10" s="134" t="s">
        <v>117</v>
      </c>
      <c r="B10" s="135">
        <v>42921</v>
      </c>
      <c r="C10" s="151" t="s">
        <v>118</v>
      </c>
      <c r="D10" s="152">
        <v>73.57</v>
      </c>
      <c r="K10" s="135">
        <v>42922</v>
      </c>
      <c r="L10" s="135"/>
      <c r="M10" s="135">
        <f t="shared" si="0"/>
        <v>42933</v>
      </c>
      <c r="N10" s="135">
        <v>42933</v>
      </c>
      <c r="O10" s="141">
        <f t="shared" si="1"/>
        <v>11</v>
      </c>
      <c r="P10" s="141">
        <f t="shared" si="2"/>
        <v>0</v>
      </c>
      <c r="Q10" s="141">
        <f t="shared" si="4"/>
        <v>11</v>
      </c>
      <c r="R10" s="141">
        <f t="shared" si="5"/>
        <v>-19</v>
      </c>
      <c r="S10" s="138">
        <v>22</v>
      </c>
      <c r="T10" s="142">
        <f t="shared" si="3"/>
        <v>0</v>
      </c>
      <c r="U10" s="142">
        <f t="shared" si="6"/>
        <v>-1397.83</v>
      </c>
      <c r="V10" s="140">
        <f t="shared" si="7"/>
        <v>122</v>
      </c>
      <c r="Y10" s="142"/>
    </row>
    <row r="11" spans="1:25" s="138" customFormat="1" ht="12">
      <c r="A11" s="134" t="s">
        <v>119</v>
      </c>
      <c r="B11" s="135">
        <v>42917</v>
      </c>
      <c r="C11" s="151" t="s">
        <v>120</v>
      </c>
      <c r="D11" s="152">
        <v>61.41</v>
      </c>
      <c r="K11" s="135">
        <f>M11</f>
        <v>42921</v>
      </c>
      <c r="L11" s="135"/>
      <c r="M11" s="135">
        <f t="shared" si="0"/>
        <v>42921</v>
      </c>
      <c r="N11" s="135">
        <v>42921</v>
      </c>
      <c r="O11" s="141">
        <f t="shared" si="1"/>
        <v>0</v>
      </c>
      <c r="P11" s="141">
        <f t="shared" si="2"/>
        <v>0</v>
      </c>
      <c r="Q11" s="141">
        <f t="shared" si="4"/>
        <v>0</v>
      </c>
      <c r="R11" s="141">
        <f t="shared" si="5"/>
        <v>-30</v>
      </c>
      <c r="S11" s="138">
        <v>20</v>
      </c>
      <c r="T11" s="142">
        <f t="shared" si="3"/>
        <v>0</v>
      </c>
      <c r="U11" s="142">
        <f t="shared" si="6"/>
        <v>-1842.3</v>
      </c>
      <c r="V11" s="140">
        <f t="shared" si="7"/>
        <v>120</v>
      </c>
      <c r="Y11" s="142"/>
    </row>
    <row r="12" spans="1:25" s="138" customFormat="1" ht="12">
      <c r="A12" s="134" t="s">
        <v>121</v>
      </c>
      <c r="B12" s="135">
        <v>42917</v>
      </c>
      <c r="C12" s="151" t="s">
        <v>122</v>
      </c>
      <c r="D12" s="152">
        <v>217.8</v>
      </c>
      <c r="E12" s="145"/>
      <c r="F12" s="146"/>
      <c r="G12" s="147"/>
      <c r="H12" s="147"/>
      <c r="K12" s="135">
        <f>M12</f>
        <v>42921</v>
      </c>
      <c r="L12" s="135"/>
      <c r="M12" s="135">
        <f t="shared" si="0"/>
        <v>42921</v>
      </c>
      <c r="N12" s="135">
        <v>42921</v>
      </c>
      <c r="O12" s="141">
        <f t="shared" si="1"/>
        <v>0</v>
      </c>
      <c r="P12" s="141">
        <f t="shared" si="2"/>
        <v>0</v>
      </c>
      <c r="Q12" s="141">
        <f t="shared" si="4"/>
        <v>0</v>
      </c>
      <c r="R12" s="141">
        <f t="shared" si="5"/>
        <v>-30</v>
      </c>
      <c r="S12" s="138">
        <v>20</v>
      </c>
      <c r="T12" s="142">
        <f t="shared" si="3"/>
        <v>0</v>
      </c>
      <c r="U12" s="142">
        <f t="shared" si="6"/>
        <v>-6534</v>
      </c>
      <c r="V12" s="140">
        <f t="shared" si="7"/>
        <v>120</v>
      </c>
      <c r="Y12" s="142"/>
    </row>
    <row r="13" spans="1:25" s="138" customFormat="1" ht="12">
      <c r="A13" s="134" t="s">
        <v>123</v>
      </c>
      <c r="B13" s="135">
        <v>42917</v>
      </c>
      <c r="C13" s="151" t="s">
        <v>124</v>
      </c>
      <c r="D13" s="152">
        <v>28.6</v>
      </c>
      <c r="E13" s="145"/>
      <c r="F13" s="146"/>
      <c r="G13" s="146"/>
      <c r="H13" s="146"/>
      <c r="K13" s="135">
        <f>M13</f>
        <v>42921</v>
      </c>
      <c r="L13" s="135"/>
      <c r="M13" s="135">
        <f t="shared" si="0"/>
        <v>42921</v>
      </c>
      <c r="N13" s="135">
        <v>42921</v>
      </c>
      <c r="O13" s="141">
        <f t="shared" si="1"/>
        <v>0</v>
      </c>
      <c r="P13" s="141">
        <f t="shared" si="2"/>
        <v>0</v>
      </c>
      <c r="Q13" s="141">
        <f t="shared" si="4"/>
        <v>0</v>
      </c>
      <c r="R13" s="141">
        <f t="shared" si="5"/>
        <v>-30</v>
      </c>
      <c r="S13" s="138">
        <v>20</v>
      </c>
      <c r="T13" s="142">
        <f t="shared" si="3"/>
        <v>0</v>
      </c>
      <c r="U13" s="142">
        <f t="shared" si="6"/>
        <v>-858</v>
      </c>
      <c r="V13" s="140">
        <f t="shared" si="7"/>
        <v>120</v>
      </c>
      <c r="Y13" s="142"/>
    </row>
    <row r="14" spans="1:25" s="138" customFormat="1" ht="12">
      <c r="A14" s="134" t="s">
        <v>125</v>
      </c>
      <c r="B14" s="135">
        <v>42922</v>
      </c>
      <c r="C14" s="134" t="s">
        <v>126</v>
      </c>
      <c r="D14" s="150">
        <v>7570.84</v>
      </c>
      <c r="E14" s="145"/>
      <c r="F14" s="148"/>
      <c r="K14" s="135">
        <v>42926</v>
      </c>
      <c r="L14" s="135"/>
      <c r="M14" s="135">
        <f t="shared" si="0"/>
        <v>42933</v>
      </c>
      <c r="N14" s="135">
        <v>42933</v>
      </c>
      <c r="O14" s="141">
        <f t="shared" si="1"/>
        <v>7</v>
      </c>
      <c r="P14" s="141">
        <f t="shared" si="2"/>
        <v>0</v>
      </c>
      <c r="Q14" s="141">
        <f t="shared" si="4"/>
        <v>7</v>
      </c>
      <c r="R14" s="141">
        <f t="shared" si="5"/>
        <v>-23</v>
      </c>
      <c r="S14" s="138">
        <v>29</v>
      </c>
      <c r="T14" s="142">
        <f t="shared" si="3"/>
        <v>0</v>
      </c>
      <c r="U14" s="142">
        <f t="shared" si="6"/>
        <v>-174129.32</v>
      </c>
      <c r="V14" s="140">
        <f t="shared" si="7"/>
        <v>129</v>
      </c>
      <c r="Y14" s="142"/>
    </row>
    <row r="15" spans="1:25" s="138" customFormat="1" ht="12">
      <c r="A15" s="134" t="s">
        <v>127</v>
      </c>
      <c r="B15" s="135">
        <v>42917</v>
      </c>
      <c r="C15" s="151" t="s">
        <v>128</v>
      </c>
      <c r="D15" s="152">
        <v>56.86</v>
      </c>
      <c r="E15" s="145"/>
      <c r="F15" s="148"/>
      <c r="K15" s="135">
        <f>M15</f>
        <v>42919</v>
      </c>
      <c r="L15" s="135"/>
      <c r="M15" s="135">
        <f t="shared" si="0"/>
        <v>42919</v>
      </c>
      <c r="N15" s="135">
        <v>42919</v>
      </c>
      <c r="O15" s="141">
        <f t="shared" si="1"/>
        <v>0</v>
      </c>
      <c r="P15" s="141">
        <f t="shared" si="2"/>
        <v>0</v>
      </c>
      <c r="Q15" s="141">
        <f t="shared" si="4"/>
        <v>0</v>
      </c>
      <c r="R15" s="141">
        <f t="shared" si="5"/>
        <v>-30</v>
      </c>
      <c r="S15" s="138">
        <v>21</v>
      </c>
      <c r="T15" s="142">
        <f t="shared" si="3"/>
        <v>0</v>
      </c>
      <c r="U15" s="142">
        <f t="shared" si="6"/>
        <v>-1705.8</v>
      </c>
      <c r="V15" s="140">
        <f t="shared" si="7"/>
        <v>121</v>
      </c>
      <c r="Y15" s="142"/>
    </row>
    <row r="16" spans="1:25" s="138" customFormat="1" ht="12">
      <c r="A16" s="134" t="s">
        <v>129</v>
      </c>
      <c r="B16" s="135">
        <v>42926</v>
      </c>
      <c r="C16" s="151" t="s">
        <v>130</v>
      </c>
      <c r="D16" s="152">
        <v>484</v>
      </c>
      <c r="E16" s="145"/>
      <c r="F16" s="148"/>
      <c r="K16" s="135">
        <v>42927</v>
      </c>
      <c r="L16" s="135"/>
      <c r="M16" s="135">
        <f t="shared" si="0"/>
        <v>42978</v>
      </c>
      <c r="N16" s="135">
        <v>42978</v>
      </c>
      <c r="O16" s="141">
        <f t="shared" si="1"/>
        <v>51</v>
      </c>
      <c r="P16" s="141">
        <f t="shared" si="2"/>
        <v>0</v>
      </c>
      <c r="Q16" s="141">
        <f t="shared" si="4"/>
        <v>51</v>
      </c>
      <c r="R16" s="141">
        <f t="shared" si="5"/>
        <v>21</v>
      </c>
      <c r="S16" s="138">
        <v>69</v>
      </c>
      <c r="T16" s="142">
        <f t="shared" si="3"/>
        <v>0</v>
      </c>
      <c r="U16" s="142">
        <f t="shared" si="6"/>
        <v>10164</v>
      </c>
      <c r="V16" s="140">
        <f t="shared" si="7"/>
        <v>169</v>
      </c>
      <c r="Y16" s="142"/>
    </row>
    <row r="17" spans="1:25" s="138" customFormat="1" ht="12">
      <c r="A17" s="134" t="s">
        <v>131</v>
      </c>
      <c r="B17" s="135">
        <v>42947</v>
      </c>
      <c r="C17" s="151" t="s">
        <v>132</v>
      </c>
      <c r="D17" s="152">
        <v>408.89</v>
      </c>
      <c r="E17" s="145"/>
      <c r="F17" s="148"/>
      <c r="K17" s="135">
        <f>M17</f>
        <v>42923</v>
      </c>
      <c r="L17" s="135"/>
      <c r="M17" s="135">
        <f t="shared" si="0"/>
        <v>42923</v>
      </c>
      <c r="N17" s="135">
        <v>42923</v>
      </c>
      <c r="O17" s="141">
        <f t="shared" si="1"/>
        <v>0</v>
      </c>
      <c r="P17" s="141">
        <f t="shared" si="2"/>
        <v>0</v>
      </c>
      <c r="Q17" s="141">
        <f t="shared" si="4"/>
        <v>0</v>
      </c>
      <c r="R17" s="141">
        <f t="shared" si="5"/>
        <v>-30</v>
      </c>
      <c r="S17" s="138">
        <v>29</v>
      </c>
      <c r="T17" s="142">
        <f t="shared" si="3"/>
        <v>0</v>
      </c>
      <c r="U17" s="142">
        <f t="shared" si="6"/>
        <v>-12266.699999999999</v>
      </c>
      <c r="V17" s="140">
        <f t="shared" si="7"/>
        <v>129</v>
      </c>
      <c r="Y17" s="142"/>
    </row>
    <row r="18" spans="1:25" s="138" customFormat="1" ht="12">
      <c r="A18" s="134" t="s">
        <v>133</v>
      </c>
      <c r="B18" s="135">
        <v>42926</v>
      </c>
      <c r="C18" s="151" t="s">
        <v>134</v>
      </c>
      <c r="D18" s="152">
        <v>16.94</v>
      </c>
      <c r="E18" s="145"/>
      <c r="F18" s="148"/>
      <c r="K18" s="135">
        <v>42929</v>
      </c>
      <c r="L18" s="135"/>
      <c r="M18" s="135">
        <f t="shared" si="0"/>
        <v>42933</v>
      </c>
      <c r="N18" s="135">
        <v>42933</v>
      </c>
      <c r="O18" s="141">
        <f t="shared" si="1"/>
        <v>4</v>
      </c>
      <c r="P18" s="141">
        <f t="shared" si="2"/>
        <v>0</v>
      </c>
      <c r="Q18" s="141">
        <f t="shared" si="4"/>
        <v>4</v>
      </c>
      <c r="R18" s="141">
        <f t="shared" si="5"/>
        <v>-26</v>
      </c>
      <c r="S18" s="138">
        <v>22</v>
      </c>
      <c r="T18" s="142">
        <f t="shared" si="3"/>
        <v>0</v>
      </c>
      <c r="U18" s="142">
        <f t="shared" si="6"/>
        <v>-440.44000000000005</v>
      </c>
      <c r="V18" s="140">
        <f t="shared" si="7"/>
        <v>122</v>
      </c>
      <c r="Y18" s="142"/>
    </row>
    <row r="19" spans="1:25" s="138" customFormat="1" ht="12">
      <c r="A19" s="134" t="s">
        <v>135</v>
      </c>
      <c r="B19" s="135">
        <v>42933</v>
      </c>
      <c r="C19" s="151" t="s">
        <v>136</v>
      </c>
      <c r="D19" s="152">
        <v>2346</v>
      </c>
      <c r="E19" s="145"/>
      <c r="F19" s="148"/>
      <c r="K19" s="135">
        <v>42929</v>
      </c>
      <c r="L19" s="135"/>
      <c r="M19" s="135">
        <f t="shared" si="0"/>
        <v>42933</v>
      </c>
      <c r="N19" s="135">
        <v>42933</v>
      </c>
      <c r="O19" s="141">
        <f t="shared" si="1"/>
        <v>4</v>
      </c>
      <c r="P19" s="141">
        <f t="shared" si="2"/>
        <v>0</v>
      </c>
      <c r="Q19" s="141">
        <f t="shared" si="4"/>
        <v>4</v>
      </c>
      <c r="R19" s="141">
        <f t="shared" si="5"/>
        <v>-26</v>
      </c>
      <c r="S19" s="138">
        <v>29</v>
      </c>
      <c r="T19" s="142">
        <f t="shared" si="3"/>
        <v>0</v>
      </c>
      <c r="U19" s="142">
        <f t="shared" si="6"/>
        <v>-60996</v>
      </c>
      <c r="V19" s="140">
        <f t="shared" si="7"/>
        <v>129</v>
      </c>
      <c r="Y19" s="142"/>
    </row>
    <row r="20" spans="1:25" s="138" customFormat="1" ht="12">
      <c r="A20" s="134" t="s">
        <v>137</v>
      </c>
      <c r="B20" s="135">
        <v>42947</v>
      </c>
      <c r="C20" s="151" t="s">
        <v>138</v>
      </c>
      <c r="D20" s="152">
        <v>1740.96</v>
      </c>
      <c r="E20" s="145"/>
      <c r="F20" s="148"/>
      <c r="K20" s="135">
        <v>42929</v>
      </c>
      <c r="L20" s="135"/>
      <c r="M20" s="135">
        <f t="shared" si="0"/>
        <v>42942</v>
      </c>
      <c r="N20" s="135">
        <v>42942</v>
      </c>
      <c r="O20" s="141">
        <f t="shared" si="1"/>
        <v>13</v>
      </c>
      <c r="P20" s="141">
        <f t="shared" si="2"/>
        <v>0</v>
      </c>
      <c r="Q20" s="141">
        <f t="shared" si="4"/>
        <v>13</v>
      </c>
      <c r="R20" s="141">
        <f t="shared" si="5"/>
        <v>-17</v>
      </c>
      <c r="S20" s="138">
        <v>29</v>
      </c>
      <c r="T20" s="142">
        <f t="shared" si="3"/>
        <v>0</v>
      </c>
      <c r="U20" s="142">
        <f t="shared" si="6"/>
        <v>-29596.32</v>
      </c>
      <c r="V20" s="140">
        <f t="shared" si="7"/>
        <v>129</v>
      </c>
      <c r="Y20" s="142"/>
    </row>
    <row r="21" spans="1:25" s="138" customFormat="1" ht="12">
      <c r="A21" s="134" t="s">
        <v>139</v>
      </c>
      <c r="B21" s="135">
        <v>42930</v>
      </c>
      <c r="C21" s="151" t="s">
        <v>140</v>
      </c>
      <c r="D21" s="152">
        <v>6245.11</v>
      </c>
      <c r="E21" s="145"/>
      <c r="F21" s="148"/>
      <c r="K21" s="135">
        <v>42949</v>
      </c>
      <c r="L21" s="135"/>
      <c r="M21" s="135">
        <f t="shared" si="0"/>
        <v>42978</v>
      </c>
      <c r="N21" s="135">
        <v>42978</v>
      </c>
      <c r="O21" s="141">
        <f t="shared" si="1"/>
        <v>29</v>
      </c>
      <c r="P21" s="141">
        <f t="shared" si="2"/>
        <v>0</v>
      </c>
      <c r="Q21" s="141">
        <f t="shared" si="4"/>
        <v>29</v>
      </c>
      <c r="R21" s="141">
        <f t="shared" si="5"/>
        <v>-1</v>
      </c>
      <c r="S21" s="138">
        <v>29</v>
      </c>
      <c r="T21" s="142">
        <f t="shared" si="3"/>
        <v>0</v>
      </c>
      <c r="U21" s="142">
        <f t="shared" si="6"/>
        <v>-6245.11</v>
      </c>
      <c r="V21" s="140">
        <f t="shared" si="7"/>
        <v>129</v>
      </c>
      <c r="Y21" s="142"/>
    </row>
    <row r="22" spans="1:25" s="138" customFormat="1" ht="12">
      <c r="A22" s="134" t="s">
        <v>141</v>
      </c>
      <c r="B22" s="135">
        <v>42935</v>
      </c>
      <c r="C22" s="151" t="s">
        <v>142</v>
      </c>
      <c r="D22" s="152">
        <v>213.78</v>
      </c>
      <c r="E22" s="145"/>
      <c r="F22" s="148"/>
      <c r="K22" s="135">
        <v>42949</v>
      </c>
      <c r="L22" s="135"/>
      <c r="M22" s="135">
        <f t="shared" si="0"/>
        <v>42955</v>
      </c>
      <c r="N22" s="135">
        <v>42955</v>
      </c>
      <c r="O22" s="141">
        <f t="shared" si="1"/>
        <v>6</v>
      </c>
      <c r="P22" s="141">
        <f t="shared" si="2"/>
        <v>0</v>
      </c>
      <c r="Q22" s="141">
        <f t="shared" si="4"/>
        <v>6</v>
      </c>
      <c r="R22" s="141">
        <f t="shared" si="5"/>
        <v>-24</v>
      </c>
      <c r="S22" s="138">
        <v>29</v>
      </c>
      <c r="T22" s="142">
        <f t="shared" si="3"/>
        <v>0</v>
      </c>
      <c r="U22" s="142">
        <f t="shared" si="6"/>
        <v>-5130.72</v>
      </c>
      <c r="V22" s="140">
        <f t="shared" si="7"/>
        <v>129</v>
      </c>
      <c r="Y22" s="142"/>
    </row>
    <row r="23" spans="1:25" s="140" customFormat="1" ht="12">
      <c r="A23" s="134" t="s">
        <v>143</v>
      </c>
      <c r="B23" s="135">
        <v>42935</v>
      </c>
      <c r="C23" s="151" t="s">
        <v>144</v>
      </c>
      <c r="D23" s="152">
        <v>142.52</v>
      </c>
      <c r="E23" s="145"/>
      <c r="F23" s="149"/>
      <c r="K23" s="135">
        <v>42949</v>
      </c>
      <c r="L23" s="135"/>
      <c r="M23" s="135">
        <f t="shared" si="0"/>
        <v>42955</v>
      </c>
      <c r="N23" s="135">
        <v>42955</v>
      </c>
      <c r="O23" s="141">
        <f t="shared" si="1"/>
        <v>6</v>
      </c>
      <c r="P23" s="141">
        <f t="shared" si="2"/>
        <v>0</v>
      </c>
      <c r="Q23" s="141">
        <f t="shared" si="4"/>
        <v>6</v>
      </c>
      <c r="R23" s="141">
        <f t="shared" si="5"/>
        <v>-24</v>
      </c>
      <c r="S23" s="140">
        <v>29</v>
      </c>
      <c r="T23" s="142">
        <f t="shared" si="3"/>
        <v>0</v>
      </c>
      <c r="U23" s="142">
        <f t="shared" si="6"/>
        <v>-3420.4800000000005</v>
      </c>
      <c r="V23" s="140">
        <f t="shared" si="7"/>
        <v>129</v>
      </c>
      <c r="Y23" s="142"/>
    </row>
    <row r="24" spans="1:25" s="138" customFormat="1" ht="12">
      <c r="A24" s="134" t="s">
        <v>145</v>
      </c>
      <c r="B24" s="135">
        <v>42935</v>
      </c>
      <c r="C24" s="151" t="s">
        <v>146</v>
      </c>
      <c r="D24" s="152">
        <v>926.38</v>
      </c>
      <c r="E24" s="145"/>
      <c r="F24" s="148"/>
      <c r="K24" s="135">
        <v>42949</v>
      </c>
      <c r="L24" s="135"/>
      <c r="M24" s="135">
        <f t="shared" si="0"/>
        <v>42955</v>
      </c>
      <c r="N24" s="135">
        <v>42955</v>
      </c>
      <c r="O24" s="141">
        <f t="shared" si="1"/>
        <v>6</v>
      </c>
      <c r="P24" s="141">
        <f t="shared" si="2"/>
        <v>0</v>
      </c>
      <c r="Q24" s="141">
        <f t="shared" si="4"/>
        <v>6</v>
      </c>
      <c r="R24" s="141">
        <f t="shared" si="5"/>
        <v>-24</v>
      </c>
      <c r="S24" s="140">
        <v>29</v>
      </c>
      <c r="T24" s="142">
        <f t="shared" si="3"/>
        <v>0</v>
      </c>
      <c r="U24" s="142">
        <f t="shared" si="6"/>
        <v>-22233.12</v>
      </c>
      <c r="V24" s="140">
        <f t="shared" si="7"/>
        <v>129</v>
      </c>
      <c r="Y24" s="142"/>
    </row>
    <row r="25" spans="1:25" s="138" customFormat="1" ht="12">
      <c r="A25" s="134" t="s">
        <v>147</v>
      </c>
      <c r="B25" s="135">
        <v>42935</v>
      </c>
      <c r="C25" s="151" t="s">
        <v>148</v>
      </c>
      <c r="D25" s="152">
        <v>71.26</v>
      </c>
      <c r="E25" s="145"/>
      <c r="F25" s="148"/>
      <c r="K25" s="135">
        <v>42949</v>
      </c>
      <c r="L25" s="135"/>
      <c r="M25" s="135">
        <f t="shared" si="0"/>
        <v>42955</v>
      </c>
      <c r="N25" s="135">
        <v>42955</v>
      </c>
      <c r="O25" s="141">
        <f t="shared" si="1"/>
        <v>6</v>
      </c>
      <c r="P25" s="141">
        <f t="shared" si="2"/>
        <v>0</v>
      </c>
      <c r="Q25" s="141">
        <f t="shared" si="4"/>
        <v>6</v>
      </c>
      <c r="R25" s="141">
        <f t="shared" si="5"/>
        <v>-24</v>
      </c>
      <c r="S25" s="140">
        <v>29</v>
      </c>
      <c r="T25" s="142">
        <f t="shared" si="3"/>
        <v>0</v>
      </c>
      <c r="U25" s="142">
        <f t="shared" si="6"/>
        <v>-1710.2400000000002</v>
      </c>
      <c r="V25" s="140">
        <f t="shared" si="7"/>
        <v>129</v>
      </c>
      <c r="Y25" s="142"/>
    </row>
    <row r="26" spans="1:25" s="138" customFormat="1" ht="12">
      <c r="A26" s="134" t="s">
        <v>149</v>
      </c>
      <c r="B26" s="135">
        <v>42926</v>
      </c>
      <c r="C26" s="151" t="s">
        <v>150</v>
      </c>
      <c r="D26" s="152">
        <v>242</v>
      </c>
      <c r="E26" s="145"/>
      <c r="F26" s="148"/>
      <c r="K26" s="135">
        <v>42949</v>
      </c>
      <c r="L26" s="135"/>
      <c r="M26" s="135">
        <f t="shared" si="0"/>
        <v>42951</v>
      </c>
      <c r="N26" s="135">
        <v>42951</v>
      </c>
      <c r="O26" s="141">
        <f t="shared" si="1"/>
        <v>2</v>
      </c>
      <c r="P26" s="141">
        <f t="shared" si="2"/>
        <v>0</v>
      </c>
      <c r="Q26" s="141">
        <f t="shared" si="4"/>
        <v>2</v>
      </c>
      <c r="R26" s="141">
        <f t="shared" si="5"/>
        <v>-28</v>
      </c>
      <c r="S26" s="140">
        <v>21</v>
      </c>
      <c r="T26" s="142">
        <f t="shared" si="3"/>
        <v>0</v>
      </c>
      <c r="U26" s="142">
        <f t="shared" si="6"/>
        <v>-6776</v>
      </c>
      <c r="V26" s="140">
        <f t="shared" si="7"/>
        <v>121</v>
      </c>
      <c r="Y26" s="142"/>
    </row>
    <row r="27" spans="1:25" s="138" customFormat="1" ht="12">
      <c r="A27" s="134" t="s">
        <v>151</v>
      </c>
      <c r="B27" s="135">
        <v>42917</v>
      </c>
      <c r="C27" s="151" t="s">
        <v>152</v>
      </c>
      <c r="D27" s="152">
        <v>121.63</v>
      </c>
      <c r="E27" s="145"/>
      <c r="F27" s="148"/>
      <c r="K27" s="135">
        <f aca="true" t="shared" si="8" ref="K27:K32">M27</f>
        <v>42946</v>
      </c>
      <c r="L27" s="135"/>
      <c r="M27" s="135">
        <f t="shared" si="0"/>
        <v>42946</v>
      </c>
      <c r="N27" s="135">
        <v>42946</v>
      </c>
      <c r="O27" s="141">
        <f t="shared" si="1"/>
        <v>0</v>
      </c>
      <c r="P27" s="141">
        <f t="shared" si="2"/>
        <v>0</v>
      </c>
      <c r="Q27" s="141">
        <f t="shared" si="4"/>
        <v>0</v>
      </c>
      <c r="R27" s="141">
        <f t="shared" si="5"/>
        <v>-30</v>
      </c>
      <c r="S27" s="140">
        <v>29</v>
      </c>
      <c r="T27" s="142">
        <f t="shared" si="3"/>
        <v>0</v>
      </c>
      <c r="U27" s="142">
        <f t="shared" si="6"/>
        <v>-3648.8999999999996</v>
      </c>
      <c r="V27" s="140">
        <f t="shared" si="7"/>
        <v>129</v>
      </c>
      <c r="Y27" s="142"/>
    </row>
    <row r="28" spans="1:25" s="138" customFormat="1" ht="12">
      <c r="A28" s="134" t="s">
        <v>153</v>
      </c>
      <c r="B28" s="135">
        <v>42917</v>
      </c>
      <c r="C28" s="151" t="s">
        <v>154</v>
      </c>
      <c r="D28" s="152">
        <v>760</v>
      </c>
      <c r="E28" s="145"/>
      <c r="F28" s="148"/>
      <c r="K28" s="135">
        <f t="shared" si="8"/>
        <v>42946</v>
      </c>
      <c r="L28" s="135"/>
      <c r="M28" s="135">
        <f t="shared" si="0"/>
        <v>42946</v>
      </c>
      <c r="N28" s="135">
        <v>42946</v>
      </c>
      <c r="O28" s="141">
        <f t="shared" si="1"/>
        <v>0</v>
      </c>
      <c r="P28" s="141">
        <f t="shared" si="2"/>
        <v>0</v>
      </c>
      <c r="Q28" s="141">
        <f t="shared" si="4"/>
        <v>0</v>
      </c>
      <c r="R28" s="141">
        <f t="shared" si="5"/>
        <v>-30</v>
      </c>
      <c r="S28" s="140">
        <v>29</v>
      </c>
      <c r="T28" s="142">
        <f t="shared" si="3"/>
        <v>0</v>
      </c>
      <c r="U28" s="142">
        <f t="shared" si="6"/>
        <v>-22800</v>
      </c>
      <c r="V28" s="140">
        <f t="shared" si="7"/>
        <v>129</v>
      </c>
      <c r="Y28" s="142"/>
    </row>
    <row r="29" spans="1:25" s="138" customFormat="1" ht="12">
      <c r="A29" s="134" t="s">
        <v>155</v>
      </c>
      <c r="B29" s="135">
        <v>42920</v>
      </c>
      <c r="C29" s="151" t="s">
        <v>156</v>
      </c>
      <c r="D29" s="152">
        <v>506.25</v>
      </c>
      <c r="E29" s="145"/>
      <c r="F29" s="148"/>
      <c r="K29" s="135">
        <f t="shared" si="8"/>
        <v>42933</v>
      </c>
      <c r="L29" s="135"/>
      <c r="M29" s="135">
        <f t="shared" si="0"/>
        <v>42933</v>
      </c>
      <c r="N29" s="135">
        <v>42933</v>
      </c>
      <c r="O29" s="141">
        <f t="shared" si="1"/>
        <v>0</v>
      </c>
      <c r="P29" s="141">
        <f t="shared" si="2"/>
        <v>0</v>
      </c>
      <c r="Q29" s="141">
        <f t="shared" si="4"/>
        <v>0</v>
      </c>
      <c r="R29" s="141">
        <f t="shared" si="5"/>
        <v>-30</v>
      </c>
      <c r="S29" s="140">
        <v>29</v>
      </c>
      <c r="T29" s="142">
        <f t="shared" si="3"/>
        <v>0</v>
      </c>
      <c r="U29" s="142">
        <f t="shared" si="6"/>
        <v>-15187.5</v>
      </c>
      <c r="V29" s="140">
        <f t="shared" si="7"/>
        <v>129</v>
      </c>
      <c r="Y29" s="142"/>
    </row>
    <row r="30" spans="1:25" s="138" customFormat="1" ht="12">
      <c r="A30" s="134" t="s">
        <v>157</v>
      </c>
      <c r="B30" s="135">
        <v>42917</v>
      </c>
      <c r="C30" s="151" t="s">
        <v>158</v>
      </c>
      <c r="D30" s="152">
        <v>389.32</v>
      </c>
      <c r="E30" s="145"/>
      <c r="F30" s="148"/>
      <c r="K30" s="135">
        <f t="shared" si="8"/>
        <v>42947</v>
      </c>
      <c r="L30" s="135"/>
      <c r="M30" s="135">
        <f t="shared" si="0"/>
        <v>42947</v>
      </c>
      <c r="N30" s="135">
        <v>42947</v>
      </c>
      <c r="O30" s="141">
        <f t="shared" si="1"/>
        <v>0</v>
      </c>
      <c r="P30" s="141">
        <f t="shared" si="2"/>
        <v>0</v>
      </c>
      <c r="Q30" s="141">
        <f t="shared" si="4"/>
        <v>0</v>
      </c>
      <c r="R30" s="141">
        <f t="shared" si="5"/>
        <v>-30</v>
      </c>
      <c r="S30" s="140">
        <v>29</v>
      </c>
      <c r="T30" s="142">
        <f t="shared" si="3"/>
        <v>0</v>
      </c>
      <c r="U30" s="142">
        <f t="shared" si="6"/>
        <v>-11679.6</v>
      </c>
      <c r="V30" s="140">
        <f t="shared" si="7"/>
        <v>129</v>
      </c>
      <c r="Y30" s="142"/>
    </row>
    <row r="31" spans="1:25" s="138" customFormat="1" ht="12">
      <c r="A31" s="134" t="s">
        <v>159</v>
      </c>
      <c r="B31" s="135">
        <v>42927</v>
      </c>
      <c r="C31" s="151" t="s">
        <v>160</v>
      </c>
      <c r="D31" s="152">
        <v>4400.87</v>
      </c>
      <c r="E31" s="145"/>
      <c r="F31" s="148"/>
      <c r="K31" s="135">
        <f t="shared" si="8"/>
        <v>42942</v>
      </c>
      <c r="L31" s="135"/>
      <c r="M31" s="135">
        <f t="shared" si="0"/>
        <v>42942</v>
      </c>
      <c r="N31" s="135">
        <v>42942</v>
      </c>
      <c r="O31" s="141">
        <f t="shared" si="1"/>
        <v>0</v>
      </c>
      <c r="P31" s="141">
        <f t="shared" si="2"/>
        <v>0</v>
      </c>
      <c r="Q31" s="141">
        <f t="shared" si="4"/>
        <v>0</v>
      </c>
      <c r="R31" s="141">
        <f t="shared" si="5"/>
        <v>-30</v>
      </c>
      <c r="S31" s="140">
        <v>22</v>
      </c>
      <c r="T31" s="142">
        <f t="shared" si="3"/>
        <v>0</v>
      </c>
      <c r="U31" s="142">
        <f t="shared" si="6"/>
        <v>-132026.1</v>
      </c>
      <c r="V31" s="140">
        <f t="shared" si="7"/>
        <v>122</v>
      </c>
      <c r="Y31" s="142"/>
    </row>
    <row r="32" spans="1:25" s="138" customFormat="1" ht="12">
      <c r="A32" s="134" t="s">
        <v>161</v>
      </c>
      <c r="B32" s="135">
        <v>42927</v>
      </c>
      <c r="C32" s="151" t="s">
        <v>162</v>
      </c>
      <c r="D32" s="152">
        <v>1100.22</v>
      </c>
      <c r="E32" s="145"/>
      <c r="F32" s="148"/>
      <c r="K32" s="135">
        <f t="shared" si="8"/>
        <v>42942</v>
      </c>
      <c r="L32" s="135"/>
      <c r="M32" s="135">
        <f t="shared" si="0"/>
        <v>42942</v>
      </c>
      <c r="N32" s="135">
        <v>42942</v>
      </c>
      <c r="O32" s="141">
        <f t="shared" si="1"/>
        <v>0</v>
      </c>
      <c r="P32" s="141">
        <f t="shared" si="2"/>
        <v>0</v>
      </c>
      <c r="Q32" s="141">
        <f t="shared" si="4"/>
        <v>0</v>
      </c>
      <c r="R32" s="141">
        <f t="shared" si="5"/>
        <v>-30</v>
      </c>
      <c r="S32" s="140">
        <v>20</v>
      </c>
      <c r="T32" s="142">
        <f t="shared" si="3"/>
        <v>0</v>
      </c>
      <c r="U32" s="142">
        <f t="shared" si="6"/>
        <v>-33006.6</v>
      </c>
      <c r="V32" s="140">
        <f t="shared" si="7"/>
        <v>120</v>
      </c>
      <c r="Y32" s="142"/>
    </row>
    <row r="33" spans="1:25" s="138" customFormat="1" ht="12">
      <c r="A33" s="134" t="s">
        <v>163</v>
      </c>
      <c r="B33" s="135">
        <v>42927</v>
      </c>
      <c r="C33" s="151" t="s">
        <v>164</v>
      </c>
      <c r="D33" s="152">
        <v>279.75</v>
      </c>
      <c r="E33" s="148"/>
      <c r="J33" s="135"/>
      <c r="K33" s="135">
        <v>42949</v>
      </c>
      <c r="L33" s="135"/>
      <c r="M33" s="135">
        <f t="shared" si="0"/>
        <v>42978</v>
      </c>
      <c r="N33" s="135">
        <v>42978</v>
      </c>
      <c r="O33" s="141">
        <f t="shared" si="1"/>
        <v>29</v>
      </c>
      <c r="P33" s="141">
        <f t="shared" si="2"/>
        <v>0</v>
      </c>
      <c r="Q33" s="141">
        <f t="shared" si="4"/>
        <v>29</v>
      </c>
      <c r="R33" s="141">
        <f t="shared" si="5"/>
        <v>-1</v>
      </c>
      <c r="S33" s="140">
        <v>22</v>
      </c>
      <c r="T33" s="142">
        <f t="shared" si="3"/>
        <v>0</v>
      </c>
      <c r="U33" s="142">
        <f t="shared" si="6"/>
        <v>-279.75</v>
      </c>
      <c r="V33" s="140">
        <f t="shared" si="7"/>
        <v>122</v>
      </c>
      <c r="Y33" s="142"/>
    </row>
    <row r="34" spans="1:25" s="138" customFormat="1" ht="12">
      <c r="A34" s="134" t="s">
        <v>165</v>
      </c>
      <c r="B34" s="135">
        <v>42920</v>
      </c>
      <c r="C34" s="151" t="s">
        <v>166</v>
      </c>
      <c r="D34" s="152">
        <v>521.64</v>
      </c>
      <c r="E34" s="148"/>
      <c r="J34" s="135"/>
      <c r="K34" s="135">
        <f>M34</f>
        <v>42933</v>
      </c>
      <c r="L34" s="135"/>
      <c r="M34" s="135">
        <f t="shared" si="0"/>
        <v>42933</v>
      </c>
      <c r="N34" s="135">
        <v>42933</v>
      </c>
      <c r="O34" s="141">
        <f t="shared" si="1"/>
        <v>0</v>
      </c>
      <c r="P34" s="141">
        <f t="shared" si="2"/>
        <v>0</v>
      </c>
      <c r="Q34" s="141">
        <f t="shared" si="4"/>
        <v>0</v>
      </c>
      <c r="R34" s="141">
        <f t="shared" si="5"/>
        <v>-30</v>
      </c>
      <c r="S34" s="140">
        <v>29</v>
      </c>
      <c r="T34" s="142">
        <f t="shared" si="3"/>
        <v>0</v>
      </c>
      <c r="U34" s="142">
        <f>+R34*D34</f>
        <v>-15649.199999999999</v>
      </c>
      <c r="V34" s="140">
        <f t="shared" si="7"/>
        <v>129</v>
      </c>
      <c r="Y34" s="142"/>
    </row>
    <row r="35" spans="1:25" s="138" customFormat="1" ht="12">
      <c r="A35" s="134" t="s">
        <v>167</v>
      </c>
      <c r="B35" s="135">
        <v>42923</v>
      </c>
      <c r="C35" s="151" t="s">
        <v>168</v>
      </c>
      <c r="D35" s="152">
        <v>153.68</v>
      </c>
      <c r="E35" s="145"/>
      <c r="F35" s="148"/>
      <c r="K35" s="135">
        <v>42949</v>
      </c>
      <c r="L35" s="135"/>
      <c r="M35" s="135">
        <f t="shared" si="0"/>
        <v>42978</v>
      </c>
      <c r="N35" s="135">
        <v>42978</v>
      </c>
      <c r="O35" s="141">
        <f t="shared" si="1"/>
        <v>29</v>
      </c>
      <c r="P35" s="141">
        <f t="shared" si="2"/>
        <v>0</v>
      </c>
      <c r="Q35" s="141">
        <f t="shared" si="4"/>
        <v>29</v>
      </c>
      <c r="R35" s="141">
        <f t="shared" si="5"/>
        <v>-1</v>
      </c>
      <c r="S35" s="140">
        <v>29</v>
      </c>
      <c r="T35" s="142">
        <f t="shared" si="3"/>
        <v>0</v>
      </c>
      <c r="U35" s="142">
        <f t="shared" si="6"/>
        <v>-153.68</v>
      </c>
      <c r="V35" s="140">
        <f t="shared" si="7"/>
        <v>129</v>
      </c>
      <c r="Y35" s="142"/>
    </row>
    <row r="36" spans="1:25" s="138" customFormat="1" ht="12">
      <c r="A36" s="134" t="s">
        <v>169</v>
      </c>
      <c r="B36" s="135">
        <v>42929</v>
      </c>
      <c r="C36" s="151" t="s">
        <v>170</v>
      </c>
      <c r="D36" s="152">
        <v>47.03</v>
      </c>
      <c r="E36" s="145"/>
      <c r="F36" s="148"/>
      <c r="K36" s="135">
        <f>M36</f>
        <v>42937</v>
      </c>
      <c r="L36" s="135"/>
      <c r="M36" s="135">
        <f t="shared" si="0"/>
        <v>42937</v>
      </c>
      <c r="N36" s="135">
        <v>42937</v>
      </c>
      <c r="O36" s="141">
        <f t="shared" si="1"/>
        <v>0</v>
      </c>
      <c r="P36" s="141">
        <f t="shared" si="2"/>
        <v>0</v>
      </c>
      <c r="Q36" s="141">
        <f t="shared" si="4"/>
        <v>0</v>
      </c>
      <c r="R36" s="141">
        <f t="shared" si="5"/>
        <v>-30</v>
      </c>
      <c r="S36" s="140">
        <v>22</v>
      </c>
      <c r="T36" s="142">
        <f t="shared" si="3"/>
        <v>0</v>
      </c>
      <c r="U36" s="142">
        <f t="shared" si="6"/>
        <v>-1410.9</v>
      </c>
      <c r="V36" s="140">
        <f t="shared" si="7"/>
        <v>122</v>
      </c>
      <c r="Y36" s="142"/>
    </row>
    <row r="37" spans="1:25" s="138" customFormat="1" ht="12">
      <c r="A37" s="134" t="s">
        <v>171</v>
      </c>
      <c r="B37" s="135">
        <v>42929</v>
      </c>
      <c r="C37" s="151" t="s">
        <v>172</v>
      </c>
      <c r="D37" s="152">
        <v>4900</v>
      </c>
      <c r="E37" s="145"/>
      <c r="F37" s="148"/>
      <c r="K37" s="135">
        <v>42949</v>
      </c>
      <c r="L37" s="135"/>
      <c r="M37" s="135">
        <f t="shared" si="0"/>
        <v>42977</v>
      </c>
      <c r="N37" s="135">
        <v>42977</v>
      </c>
      <c r="O37" s="141">
        <f t="shared" si="1"/>
        <v>28</v>
      </c>
      <c r="P37" s="141">
        <f t="shared" si="2"/>
        <v>0</v>
      </c>
      <c r="Q37" s="141">
        <f t="shared" si="4"/>
        <v>28</v>
      </c>
      <c r="R37" s="141">
        <f t="shared" si="5"/>
        <v>-2</v>
      </c>
      <c r="S37" s="140">
        <v>29</v>
      </c>
      <c r="T37" s="142">
        <f t="shared" si="3"/>
        <v>0</v>
      </c>
      <c r="U37" s="142">
        <f t="shared" si="6"/>
        <v>-9800</v>
      </c>
      <c r="V37" s="140">
        <f t="shared" si="7"/>
        <v>129</v>
      </c>
      <c r="Y37" s="142"/>
    </row>
    <row r="38" spans="1:25" s="138" customFormat="1" ht="12">
      <c r="A38" s="134" t="s">
        <v>173</v>
      </c>
      <c r="B38" s="135">
        <v>42930</v>
      </c>
      <c r="C38" s="151" t="s">
        <v>174</v>
      </c>
      <c r="D38" s="152">
        <v>14.52</v>
      </c>
      <c r="E38" s="145"/>
      <c r="F38" s="148"/>
      <c r="K38" s="135">
        <v>42949</v>
      </c>
      <c r="L38" s="135"/>
      <c r="M38" s="135">
        <f t="shared" si="0"/>
        <v>42978</v>
      </c>
      <c r="N38" s="135">
        <v>42978</v>
      </c>
      <c r="O38" s="141">
        <f t="shared" si="1"/>
        <v>29</v>
      </c>
      <c r="P38" s="141">
        <f t="shared" si="2"/>
        <v>0</v>
      </c>
      <c r="Q38" s="141">
        <f t="shared" si="4"/>
        <v>29</v>
      </c>
      <c r="R38" s="141">
        <f t="shared" si="5"/>
        <v>-1</v>
      </c>
      <c r="S38" s="140">
        <v>29</v>
      </c>
      <c r="T38" s="142">
        <f t="shared" si="3"/>
        <v>0</v>
      </c>
      <c r="U38" s="142">
        <f t="shared" si="6"/>
        <v>-14.52</v>
      </c>
      <c r="V38" s="140">
        <f t="shared" si="7"/>
        <v>129</v>
      </c>
      <c r="Y38" s="142"/>
    </row>
    <row r="39" spans="1:25" s="138" customFormat="1" ht="12">
      <c r="A39" s="134" t="s">
        <v>175</v>
      </c>
      <c r="B39" s="135">
        <v>42917</v>
      </c>
      <c r="C39" s="151" t="s">
        <v>176</v>
      </c>
      <c r="D39" s="152">
        <v>2976.6</v>
      </c>
      <c r="E39" s="145"/>
      <c r="F39" s="148"/>
      <c r="K39" s="135">
        <v>42950</v>
      </c>
      <c r="L39" s="135"/>
      <c r="M39" s="135">
        <f t="shared" si="0"/>
        <v>42978</v>
      </c>
      <c r="N39" s="135">
        <v>42978</v>
      </c>
      <c r="O39" s="141">
        <f t="shared" si="1"/>
        <v>28</v>
      </c>
      <c r="P39" s="141">
        <f t="shared" si="2"/>
        <v>0</v>
      </c>
      <c r="Q39" s="141">
        <f t="shared" si="4"/>
        <v>28</v>
      </c>
      <c r="R39" s="141">
        <f t="shared" si="5"/>
        <v>-2</v>
      </c>
      <c r="S39" s="140">
        <v>69</v>
      </c>
      <c r="T39" s="142">
        <f t="shared" si="3"/>
        <v>0</v>
      </c>
      <c r="U39" s="142">
        <f t="shared" si="6"/>
        <v>-5953.2</v>
      </c>
      <c r="V39" s="140">
        <f t="shared" si="7"/>
        <v>169</v>
      </c>
      <c r="Y39" s="142"/>
    </row>
    <row r="40" spans="1:25" s="138" customFormat="1" ht="12">
      <c r="A40" s="134" t="s">
        <v>177</v>
      </c>
      <c r="B40" s="135">
        <v>42917</v>
      </c>
      <c r="C40" s="151" t="s">
        <v>178</v>
      </c>
      <c r="D40" s="152">
        <v>7441.19</v>
      </c>
      <c r="E40" s="145"/>
      <c r="F40" s="148"/>
      <c r="K40" s="135">
        <v>42950</v>
      </c>
      <c r="L40" s="135"/>
      <c r="M40" s="135">
        <f t="shared" si="0"/>
        <v>42978</v>
      </c>
      <c r="N40" s="135">
        <v>42978</v>
      </c>
      <c r="O40" s="141">
        <f t="shared" si="1"/>
        <v>28</v>
      </c>
      <c r="P40" s="141">
        <f t="shared" si="2"/>
        <v>0</v>
      </c>
      <c r="Q40" s="141">
        <f t="shared" si="4"/>
        <v>28</v>
      </c>
      <c r="R40" s="141">
        <f t="shared" si="5"/>
        <v>-2</v>
      </c>
      <c r="S40" s="140">
        <v>69</v>
      </c>
      <c r="T40" s="142">
        <f t="shared" si="3"/>
        <v>0</v>
      </c>
      <c r="U40" s="142">
        <f t="shared" si="6"/>
        <v>-14882.38</v>
      </c>
      <c r="V40" s="140">
        <f t="shared" si="7"/>
        <v>169</v>
      </c>
      <c r="Y40" s="142"/>
    </row>
    <row r="41" spans="1:25" s="138" customFormat="1" ht="12">
      <c r="A41" s="134" t="s">
        <v>179</v>
      </c>
      <c r="B41" s="135">
        <v>42917</v>
      </c>
      <c r="C41" s="151" t="s">
        <v>180</v>
      </c>
      <c r="D41" s="152">
        <v>3465.44</v>
      </c>
      <c r="E41" s="145"/>
      <c r="F41" s="148"/>
      <c r="K41" s="135">
        <v>42950</v>
      </c>
      <c r="L41" s="135"/>
      <c r="M41" s="135">
        <f t="shared" si="0"/>
        <v>42978</v>
      </c>
      <c r="N41" s="135">
        <v>42978</v>
      </c>
      <c r="O41" s="141">
        <f t="shared" si="1"/>
        <v>28</v>
      </c>
      <c r="P41" s="141">
        <f t="shared" si="2"/>
        <v>0</v>
      </c>
      <c r="Q41" s="141">
        <f t="shared" si="4"/>
        <v>28</v>
      </c>
      <c r="R41" s="141">
        <f t="shared" si="5"/>
        <v>-2</v>
      </c>
      <c r="S41" s="140">
        <v>69</v>
      </c>
      <c r="T41" s="142">
        <f t="shared" si="3"/>
        <v>0</v>
      </c>
      <c r="U41" s="142">
        <f t="shared" si="6"/>
        <v>-6930.88</v>
      </c>
      <c r="V41" s="140">
        <f t="shared" si="7"/>
        <v>169</v>
      </c>
      <c r="Y41" s="142"/>
    </row>
    <row r="42" spans="1:25" s="138" customFormat="1" ht="12">
      <c r="A42" s="134" t="s">
        <v>181</v>
      </c>
      <c r="B42" s="135">
        <v>42947</v>
      </c>
      <c r="C42" s="151" t="s">
        <v>182</v>
      </c>
      <c r="D42" s="152">
        <v>122.82</v>
      </c>
      <c r="E42" s="145"/>
      <c r="F42" s="148"/>
      <c r="K42" s="135">
        <f>M42</f>
        <v>42954</v>
      </c>
      <c r="L42" s="135"/>
      <c r="M42" s="135">
        <f t="shared" si="0"/>
        <v>42954</v>
      </c>
      <c r="N42" s="135">
        <v>42954</v>
      </c>
      <c r="O42" s="141">
        <f t="shared" si="1"/>
        <v>0</v>
      </c>
      <c r="P42" s="141">
        <f t="shared" si="2"/>
        <v>0</v>
      </c>
      <c r="Q42" s="141">
        <f t="shared" si="4"/>
        <v>0</v>
      </c>
      <c r="R42" s="141">
        <f t="shared" si="5"/>
        <v>-30</v>
      </c>
      <c r="S42" s="140">
        <v>29</v>
      </c>
      <c r="T42" s="142">
        <f t="shared" si="3"/>
        <v>0</v>
      </c>
      <c r="U42" s="142">
        <f t="shared" si="6"/>
        <v>-3684.6</v>
      </c>
      <c r="V42" s="140">
        <f t="shared" si="7"/>
        <v>129</v>
      </c>
      <c r="Y42" s="142"/>
    </row>
    <row r="43" spans="1:25" s="138" customFormat="1" ht="12">
      <c r="A43" s="134" t="s">
        <v>183</v>
      </c>
      <c r="B43" s="135">
        <v>42926</v>
      </c>
      <c r="C43" s="151" t="s">
        <v>184</v>
      </c>
      <c r="D43" s="152">
        <v>290.4</v>
      </c>
      <c r="E43" s="145"/>
      <c r="F43" s="148"/>
      <c r="K43" s="135">
        <v>42956</v>
      </c>
      <c r="L43" s="135"/>
      <c r="M43" s="135">
        <f t="shared" si="0"/>
        <v>42978</v>
      </c>
      <c r="N43" s="135">
        <v>42978</v>
      </c>
      <c r="O43" s="141">
        <f t="shared" si="1"/>
        <v>22</v>
      </c>
      <c r="P43" s="141">
        <f t="shared" si="2"/>
        <v>0</v>
      </c>
      <c r="Q43" s="141">
        <f t="shared" si="4"/>
        <v>22</v>
      </c>
      <c r="R43" s="141">
        <f t="shared" si="5"/>
        <v>-8</v>
      </c>
      <c r="S43" s="140">
        <v>29</v>
      </c>
      <c r="T43" s="142">
        <f t="shared" si="3"/>
        <v>0</v>
      </c>
      <c r="U43" s="142">
        <f t="shared" si="6"/>
        <v>-2323.2</v>
      </c>
      <c r="V43" s="140">
        <f t="shared" si="7"/>
        <v>129</v>
      </c>
      <c r="Y43" s="142"/>
    </row>
    <row r="44" spans="1:25" s="138" customFormat="1" ht="12">
      <c r="A44" s="134" t="s">
        <v>185</v>
      </c>
      <c r="B44" s="135">
        <v>42917</v>
      </c>
      <c r="C44" s="151" t="s">
        <v>186</v>
      </c>
      <c r="D44" s="152">
        <v>15.42</v>
      </c>
      <c r="E44" s="145"/>
      <c r="F44" s="148"/>
      <c r="K44" s="135">
        <v>42956</v>
      </c>
      <c r="L44" s="135"/>
      <c r="M44" s="135">
        <f t="shared" si="0"/>
        <v>42978</v>
      </c>
      <c r="N44" s="135">
        <v>42978</v>
      </c>
      <c r="O44" s="141">
        <f t="shared" si="1"/>
        <v>22</v>
      </c>
      <c r="P44" s="141">
        <f t="shared" si="2"/>
        <v>0</v>
      </c>
      <c r="Q44" s="141">
        <f t="shared" si="4"/>
        <v>22</v>
      </c>
      <c r="R44" s="141">
        <f t="shared" si="5"/>
        <v>-8</v>
      </c>
      <c r="S44" s="140">
        <v>29</v>
      </c>
      <c r="T44" s="142">
        <f t="shared" si="3"/>
        <v>0</v>
      </c>
      <c r="U44" s="142">
        <f t="shared" si="6"/>
        <v>-123.36</v>
      </c>
      <c r="V44" s="140">
        <f t="shared" si="7"/>
        <v>129</v>
      </c>
      <c r="Y44" s="142"/>
    </row>
    <row r="45" spans="1:25" s="138" customFormat="1" ht="12">
      <c r="A45" s="134" t="s">
        <v>187</v>
      </c>
      <c r="B45" s="135">
        <v>42944</v>
      </c>
      <c r="C45" s="151" t="s">
        <v>188</v>
      </c>
      <c r="D45" s="152">
        <v>69.04</v>
      </c>
      <c r="E45" s="145"/>
      <c r="F45" s="148"/>
      <c r="K45" s="135">
        <v>42956</v>
      </c>
      <c r="L45" s="135"/>
      <c r="M45" s="135">
        <f t="shared" si="0"/>
        <v>42978</v>
      </c>
      <c r="N45" s="135">
        <v>42978</v>
      </c>
      <c r="O45" s="141">
        <f t="shared" si="1"/>
        <v>22</v>
      </c>
      <c r="P45" s="141">
        <f t="shared" si="2"/>
        <v>0</v>
      </c>
      <c r="Q45" s="141">
        <f t="shared" si="4"/>
        <v>22</v>
      </c>
      <c r="R45" s="141">
        <f t="shared" si="5"/>
        <v>-8</v>
      </c>
      <c r="S45" s="140">
        <v>29</v>
      </c>
      <c r="T45" s="142">
        <f t="shared" si="3"/>
        <v>0</v>
      </c>
      <c r="U45" s="142">
        <f t="shared" si="6"/>
        <v>-552.32</v>
      </c>
      <c r="V45" s="140">
        <f t="shared" si="7"/>
        <v>129</v>
      </c>
      <c r="Y45" s="142"/>
    </row>
    <row r="46" spans="1:25" s="138" customFormat="1" ht="12">
      <c r="A46" s="134" t="s">
        <v>189</v>
      </c>
      <c r="B46" s="135">
        <v>42943</v>
      </c>
      <c r="C46" s="151" t="s">
        <v>190</v>
      </c>
      <c r="D46" s="152">
        <v>151.25</v>
      </c>
      <c r="E46" s="145"/>
      <c r="F46" s="148"/>
      <c r="K46" s="135">
        <v>42956</v>
      </c>
      <c r="L46" s="135"/>
      <c r="M46" s="135">
        <f t="shared" si="0"/>
        <v>42978</v>
      </c>
      <c r="N46" s="135">
        <v>42978</v>
      </c>
      <c r="O46" s="141">
        <f t="shared" si="1"/>
        <v>22</v>
      </c>
      <c r="P46" s="141">
        <f t="shared" si="2"/>
        <v>0</v>
      </c>
      <c r="Q46" s="141">
        <f t="shared" si="4"/>
        <v>22</v>
      </c>
      <c r="R46" s="141">
        <f t="shared" si="5"/>
        <v>-8</v>
      </c>
      <c r="S46" s="140">
        <v>21</v>
      </c>
      <c r="T46" s="142">
        <f t="shared" si="3"/>
        <v>0</v>
      </c>
      <c r="U46" s="142">
        <f t="shared" si="6"/>
        <v>-1210</v>
      </c>
      <c r="V46" s="140">
        <f t="shared" si="7"/>
        <v>121</v>
      </c>
      <c r="Y46" s="142"/>
    </row>
    <row r="47" spans="1:25" s="138" customFormat="1" ht="12">
      <c r="A47" s="134" t="s">
        <v>191</v>
      </c>
      <c r="B47" s="135">
        <v>42947</v>
      </c>
      <c r="C47" s="151" t="s">
        <v>192</v>
      </c>
      <c r="D47" s="152">
        <v>445.53</v>
      </c>
      <c r="E47" s="145"/>
      <c r="F47" s="148"/>
      <c r="K47" s="135">
        <v>42956</v>
      </c>
      <c r="L47" s="135"/>
      <c r="M47" s="135">
        <f t="shared" si="0"/>
        <v>42978</v>
      </c>
      <c r="N47" s="135">
        <v>42978</v>
      </c>
      <c r="O47" s="141">
        <f t="shared" si="1"/>
        <v>22</v>
      </c>
      <c r="P47" s="141">
        <f t="shared" si="2"/>
        <v>0</v>
      </c>
      <c r="Q47" s="141">
        <f t="shared" si="4"/>
        <v>22</v>
      </c>
      <c r="R47" s="141">
        <f t="shared" si="5"/>
        <v>-8</v>
      </c>
      <c r="S47" s="140">
        <v>29</v>
      </c>
      <c r="T47" s="142">
        <f t="shared" si="3"/>
        <v>0</v>
      </c>
      <c r="U47" s="142">
        <f t="shared" si="6"/>
        <v>-3564.24</v>
      </c>
      <c r="V47" s="140">
        <f t="shared" si="7"/>
        <v>129</v>
      </c>
      <c r="Y47" s="142"/>
    </row>
    <row r="48" spans="1:25" s="138" customFormat="1" ht="12">
      <c r="A48" s="134" t="s">
        <v>193</v>
      </c>
      <c r="B48" s="135">
        <v>42937</v>
      </c>
      <c r="C48" s="151" t="s">
        <v>194</v>
      </c>
      <c r="D48" s="152">
        <v>64.61</v>
      </c>
      <c r="E48" s="145"/>
      <c r="F48" s="148"/>
      <c r="K48" s="135">
        <f>M48</f>
        <v>42944</v>
      </c>
      <c r="L48" s="135"/>
      <c r="M48" s="135">
        <f t="shared" si="0"/>
        <v>42944</v>
      </c>
      <c r="N48" s="135">
        <v>42944</v>
      </c>
      <c r="O48" s="141">
        <f t="shared" si="1"/>
        <v>0</v>
      </c>
      <c r="P48" s="141">
        <f t="shared" si="2"/>
        <v>0</v>
      </c>
      <c r="Q48" s="141">
        <f t="shared" si="4"/>
        <v>0</v>
      </c>
      <c r="R48" s="141">
        <f t="shared" si="5"/>
        <v>-30</v>
      </c>
      <c r="S48" s="140">
        <v>21</v>
      </c>
      <c r="T48" s="142">
        <f t="shared" si="3"/>
        <v>0</v>
      </c>
      <c r="U48" s="142">
        <f t="shared" si="6"/>
        <v>-1938.3</v>
      </c>
      <c r="V48" s="140">
        <f t="shared" si="7"/>
        <v>121</v>
      </c>
      <c r="Y48" s="142"/>
    </row>
    <row r="49" spans="1:25" s="138" customFormat="1" ht="12">
      <c r="A49" s="134" t="s">
        <v>195</v>
      </c>
      <c r="B49" s="135">
        <v>42932</v>
      </c>
      <c r="C49" s="151" t="s">
        <v>196</v>
      </c>
      <c r="D49" s="152">
        <v>181.51</v>
      </c>
      <c r="E49" s="145"/>
      <c r="F49" s="148"/>
      <c r="K49" s="135">
        <f>M49</f>
        <v>42951</v>
      </c>
      <c r="L49" s="135"/>
      <c r="M49" s="135">
        <f t="shared" si="0"/>
        <v>42951</v>
      </c>
      <c r="N49" s="135">
        <v>42951</v>
      </c>
      <c r="O49" s="141">
        <f t="shared" si="1"/>
        <v>0</v>
      </c>
      <c r="P49" s="141">
        <f t="shared" si="2"/>
        <v>0</v>
      </c>
      <c r="Q49" s="141">
        <f t="shared" si="4"/>
        <v>0</v>
      </c>
      <c r="R49" s="141">
        <f t="shared" si="5"/>
        <v>-30</v>
      </c>
      <c r="S49" s="140">
        <v>29</v>
      </c>
      <c r="T49" s="142">
        <f t="shared" si="3"/>
        <v>0</v>
      </c>
      <c r="U49" s="142">
        <f t="shared" si="6"/>
        <v>-5445.299999999999</v>
      </c>
      <c r="V49" s="140">
        <f t="shared" si="7"/>
        <v>129</v>
      </c>
      <c r="Y49" s="142"/>
    </row>
    <row r="50" spans="1:25" s="138" customFormat="1" ht="12">
      <c r="A50" s="134" t="s">
        <v>197</v>
      </c>
      <c r="B50" s="135">
        <v>42944</v>
      </c>
      <c r="C50" s="151" t="s">
        <v>198</v>
      </c>
      <c r="D50" s="152">
        <v>35.61</v>
      </c>
      <c r="E50" s="145"/>
      <c r="F50" s="148"/>
      <c r="K50" s="135">
        <v>42957</v>
      </c>
      <c r="L50" s="135"/>
      <c r="M50" s="135">
        <f t="shared" si="0"/>
        <v>42963</v>
      </c>
      <c r="N50" s="135">
        <v>42963</v>
      </c>
      <c r="O50" s="141">
        <f t="shared" si="1"/>
        <v>6</v>
      </c>
      <c r="P50" s="141">
        <f t="shared" si="2"/>
        <v>0</v>
      </c>
      <c r="Q50" s="141">
        <f t="shared" si="4"/>
        <v>6</v>
      </c>
      <c r="R50" s="141">
        <f t="shared" si="5"/>
        <v>-24</v>
      </c>
      <c r="S50" s="140">
        <v>29</v>
      </c>
      <c r="T50" s="142">
        <f t="shared" si="3"/>
        <v>0</v>
      </c>
      <c r="U50" s="142">
        <f t="shared" si="6"/>
        <v>-854.64</v>
      </c>
      <c r="V50" s="140">
        <f t="shared" si="7"/>
        <v>129</v>
      </c>
      <c r="Y50" s="142"/>
    </row>
    <row r="51" spans="1:25" s="138" customFormat="1" ht="12">
      <c r="A51" s="134" t="s">
        <v>199</v>
      </c>
      <c r="B51" s="135">
        <v>42944</v>
      </c>
      <c r="C51" s="151" t="s">
        <v>200</v>
      </c>
      <c r="D51" s="152">
        <v>29.97</v>
      </c>
      <c r="E51" s="145"/>
      <c r="F51" s="148"/>
      <c r="K51" s="135">
        <v>42957</v>
      </c>
      <c r="L51" s="135"/>
      <c r="M51" s="135">
        <f t="shared" si="0"/>
        <v>42963</v>
      </c>
      <c r="N51" s="135">
        <v>42963</v>
      </c>
      <c r="O51" s="141">
        <f t="shared" si="1"/>
        <v>6</v>
      </c>
      <c r="P51" s="141">
        <f t="shared" si="2"/>
        <v>0</v>
      </c>
      <c r="Q51" s="141">
        <f t="shared" si="4"/>
        <v>6</v>
      </c>
      <c r="R51" s="141">
        <f t="shared" si="5"/>
        <v>-24</v>
      </c>
      <c r="S51" s="140">
        <v>29</v>
      </c>
      <c r="T51" s="142">
        <f t="shared" si="3"/>
        <v>0</v>
      </c>
      <c r="U51" s="142">
        <f t="shared" si="6"/>
        <v>-719.28</v>
      </c>
      <c r="V51" s="140">
        <f t="shared" si="7"/>
        <v>129</v>
      </c>
      <c r="Y51" s="142"/>
    </row>
    <row r="52" spans="1:25" s="138" customFormat="1" ht="12">
      <c r="A52" s="134" t="s">
        <v>201</v>
      </c>
      <c r="B52" s="135">
        <v>42944</v>
      </c>
      <c r="C52" s="151" t="s">
        <v>202</v>
      </c>
      <c r="D52" s="152">
        <v>31.11</v>
      </c>
      <c r="E52" s="145"/>
      <c r="F52" s="148"/>
      <c r="K52" s="135">
        <v>42957</v>
      </c>
      <c r="L52" s="135"/>
      <c r="M52" s="135">
        <f t="shared" si="0"/>
        <v>42963</v>
      </c>
      <c r="N52" s="135">
        <v>42963</v>
      </c>
      <c r="O52" s="141">
        <f t="shared" si="1"/>
        <v>6</v>
      </c>
      <c r="P52" s="141">
        <f t="shared" si="2"/>
        <v>0</v>
      </c>
      <c r="Q52" s="141">
        <f t="shared" si="4"/>
        <v>6</v>
      </c>
      <c r="R52" s="141">
        <f t="shared" si="5"/>
        <v>-24</v>
      </c>
      <c r="S52" s="140">
        <v>29</v>
      </c>
      <c r="T52" s="142">
        <f t="shared" si="3"/>
        <v>0</v>
      </c>
      <c r="U52" s="142">
        <f t="shared" si="6"/>
        <v>-746.64</v>
      </c>
      <c r="V52" s="140">
        <f t="shared" si="7"/>
        <v>129</v>
      </c>
      <c r="Y52" s="142"/>
    </row>
    <row r="53" spans="1:25" s="138" customFormat="1" ht="12">
      <c r="A53" s="134" t="s">
        <v>203</v>
      </c>
      <c r="B53" s="135">
        <v>42944</v>
      </c>
      <c r="C53" s="151" t="s">
        <v>204</v>
      </c>
      <c r="D53" s="152">
        <v>16.76</v>
      </c>
      <c r="E53" s="145"/>
      <c r="F53" s="148"/>
      <c r="K53" s="135">
        <v>42957</v>
      </c>
      <c r="L53" s="135"/>
      <c r="M53" s="135">
        <f t="shared" si="0"/>
        <v>42963</v>
      </c>
      <c r="N53" s="135">
        <v>42963</v>
      </c>
      <c r="O53" s="141">
        <f t="shared" si="1"/>
        <v>6</v>
      </c>
      <c r="P53" s="141">
        <f t="shared" si="2"/>
        <v>0</v>
      </c>
      <c r="Q53" s="141">
        <f t="shared" si="4"/>
        <v>6</v>
      </c>
      <c r="R53" s="141">
        <f t="shared" si="5"/>
        <v>-24</v>
      </c>
      <c r="S53" s="140">
        <v>29</v>
      </c>
      <c r="T53" s="142">
        <f t="shared" si="3"/>
        <v>0</v>
      </c>
      <c r="U53" s="142">
        <f t="shared" si="6"/>
        <v>-402.24</v>
      </c>
      <c r="V53" s="140">
        <f t="shared" si="7"/>
        <v>129</v>
      </c>
      <c r="Y53" s="142"/>
    </row>
    <row r="54" spans="1:25" s="138" customFormat="1" ht="12">
      <c r="A54" s="134" t="s">
        <v>205</v>
      </c>
      <c r="B54" s="135">
        <v>42944</v>
      </c>
      <c r="C54" s="151" t="s">
        <v>206</v>
      </c>
      <c r="D54" s="152">
        <v>15.69</v>
      </c>
      <c r="E54" s="145"/>
      <c r="F54" s="148"/>
      <c r="K54" s="135">
        <v>42957</v>
      </c>
      <c r="L54" s="135"/>
      <c r="M54" s="135">
        <f t="shared" si="0"/>
        <v>42963</v>
      </c>
      <c r="N54" s="135">
        <v>42963</v>
      </c>
      <c r="O54" s="141">
        <f t="shared" si="1"/>
        <v>6</v>
      </c>
      <c r="P54" s="141">
        <f t="shared" si="2"/>
        <v>0</v>
      </c>
      <c r="Q54" s="141">
        <f t="shared" si="4"/>
        <v>6</v>
      </c>
      <c r="R54" s="141">
        <f t="shared" si="5"/>
        <v>-24</v>
      </c>
      <c r="S54" s="140">
        <v>29</v>
      </c>
      <c r="T54" s="142">
        <f t="shared" si="3"/>
        <v>0</v>
      </c>
      <c r="U54" s="142">
        <f t="shared" si="6"/>
        <v>-376.56</v>
      </c>
      <c r="V54" s="140">
        <f t="shared" si="7"/>
        <v>129</v>
      </c>
      <c r="Y54" s="142"/>
    </row>
    <row r="55" spans="1:25" s="138" customFormat="1" ht="12">
      <c r="A55" s="134" t="s">
        <v>207</v>
      </c>
      <c r="B55" s="135">
        <v>42944</v>
      </c>
      <c r="C55" s="151" t="s">
        <v>208</v>
      </c>
      <c r="D55" s="152">
        <v>14.45</v>
      </c>
      <c r="E55" s="145"/>
      <c r="F55" s="148"/>
      <c r="K55" s="135">
        <v>42957</v>
      </c>
      <c r="L55" s="135"/>
      <c r="M55" s="135">
        <f t="shared" si="0"/>
        <v>42963</v>
      </c>
      <c r="N55" s="135">
        <v>42963</v>
      </c>
      <c r="O55" s="141">
        <f t="shared" si="1"/>
        <v>6</v>
      </c>
      <c r="P55" s="141">
        <f t="shared" si="2"/>
        <v>0</v>
      </c>
      <c r="Q55" s="141">
        <f t="shared" si="4"/>
        <v>6</v>
      </c>
      <c r="R55" s="141">
        <f t="shared" si="5"/>
        <v>-24</v>
      </c>
      <c r="S55" s="140">
        <v>29</v>
      </c>
      <c r="T55" s="142">
        <f t="shared" si="3"/>
        <v>0</v>
      </c>
      <c r="U55" s="142">
        <f t="shared" si="6"/>
        <v>-346.79999999999995</v>
      </c>
      <c r="V55" s="140">
        <f t="shared" si="7"/>
        <v>129</v>
      </c>
      <c r="Y55" s="142"/>
    </row>
    <row r="56" spans="1:25" s="138" customFormat="1" ht="12">
      <c r="A56" s="134" t="s">
        <v>209</v>
      </c>
      <c r="B56" s="135">
        <v>42944</v>
      </c>
      <c r="C56" s="151" t="s">
        <v>210</v>
      </c>
      <c r="D56" s="152">
        <v>478.75</v>
      </c>
      <c r="E56" s="145"/>
      <c r="F56" s="148"/>
      <c r="K56" s="135">
        <v>42957</v>
      </c>
      <c r="L56" s="135"/>
      <c r="M56" s="135">
        <f t="shared" si="0"/>
        <v>42963</v>
      </c>
      <c r="N56" s="135">
        <v>42963</v>
      </c>
      <c r="O56" s="141">
        <f t="shared" si="1"/>
        <v>6</v>
      </c>
      <c r="P56" s="141">
        <f t="shared" si="2"/>
        <v>0</v>
      </c>
      <c r="Q56" s="141">
        <f t="shared" si="4"/>
        <v>6</v>
      </c>
      <c r="R56" s="141">
        <f t="shared" si="5"/>
        <v>-24</v>
      </c>
      <c r="S56" s="140">
        <v>29</v>
      </c>
      <c r="T56" s="142">
        <f t="shared" si="3"/>
        <v>0</v>
      </c>
      <c r="U56" s="142">
        <f t="shared" si="6"/>
        <v>-11490</v>
      </c>
      <c r="V56" s="140">
        <f t="shared" si="7"/>
        <v>129</v>
      </c>
      <c r="Y56" s="142"/>
    </row>
    <row r="57" spans="1:25" s="138" customFormat="1" ht="12">
      <c r="A57" s="134" t="s">
        <v>211</v>
      </c>
      <c r="B57" s="135">
        <v>42947</v>
      </c>
      <c r="C57" s="151" t="s">
        <v>212</v>
      </c>
      <c r="D57" s="152">
        <v>1108.17</v>
      </c>
      <c r="E57" s="145"/>
      <c r="F57" s="148"/>
      <c r="K57" s="135">
        <f>M57</f>
        <v>42947</v>
      </c>
      <c r="L57" s="135"/>
      <c r="M57" s="135">
        <f t="shared" si="0"/>
        <v>42947</v>
      </c>
      <c r="N57" s="135">
        <v>42947</v>
      </c>
      <c r="O57" s="141">
        <f t="shared" si="1"/>
        <v>0</v>
      </c>
      <c r="P57" s="141">
        <f t="shared" si="2"/>
        <v>0</v>
      </c>
      <c r="Q57" s="141">
        <f t="shared" si="4"/>
        <v>0</v>
      </c>
      <c r="R57" s="141">
        <f t="shared" si="5"/>
        <v>-30</v>
      </c>
      <c r="S57" s="140">
        <v>29</v>
      </c>
      <c r="T57" s="142">
        <f t="shared" si="3"/>
        <v>0</v>
      </c>
      <c r="U57" s="142">
        <f t="shared" si="6"/>
        <v>-33245.100000000006</v>
      </c>
      <c r="V57" s="140">
        <f t="shared" si="7"/>
        <v>129</v>
      </c>
      <c r="Y57" s="142"/>
    </row>
    <row r="58" spans="1:25" s="138" customFormat="1" ht="12">
      <c r="A58" s="134" t="s">
        <v>213</v>
      </c>
      <c r="B58" s="135">
        <v>42944</v>
      </c>
      <c r="C58" s="151" t="s">
        <v>214</v>
      </c>
      <c r="D58" s="152">
        <v>14.45</v>
      </c>
      <c r="E58" s="145"/>
      <c r="F58" s="148"/>
      <c r="K58" s="135">
        <v>42957</v>
      </c>
      <c r="L58" s="135"/>
      <c r="M58" s="135">
        <f t="shared" si="0"/>
        <v>42963</v>
      </c>
      <c r="N58" s="135">
        <v>42963</v>
      </c>
      <c r="O58" s="141">
        <f t="shared" si="1"/>
        <v>6</v>
      </c>
      <c r="P58" s="141">
        <f t="shared" si="2"/>
        <v>0</v>
      </c>
      <c r="Q58" s="141">
        <f t="shared" si="4"/>
        <v>6</v>
      </c>
      <c r="R58" s="141">
        <f t="shared" si="5"/>
        <v>-24</v>
      </c>
      <c r="S58" s="140">
        <v>29</v>
      </c>
      <c r="T58" s="142">
        <f t="shared" si="3"/>
        <v>0</v>
      </c>
      <c r="U58" s="142">
        <f t="shared" si="6"/>
        <v>-346.79999999999995</v>
      </c>
      <c r="V58" s="140">
        <f t="shared" si="7"/>
        <v>129</v>
      </c>
      <c r="Y58" s="142"/>
    </row>
    <row r="59" spans="1:25" s="138" customFormat="1" ht="12">
      <c r="A59" s="134" t="s">
        <v>215</v>
      </c>
      <c r="B59" s="135">
        <v>42936</v>
      </c>
      <c r="C59" s="151" t="s">
        <v>216</v>
      </c>
      <c r="D59" s="152">
        <v>245.03</v>
      </c>
      <c r="E59" s="145"/>
      <c r="F59" s="148"/>
      <c r="K59" s="135">
        <v>42957</v>
      </c>
      <c r="L59" s="135"/>
      <c r="M59" s="135">
        <f aca="true" t="shared" si="9" ref="M59:M114">+N59</f>
        <v>42978</v>
      </c>
      <c r="N59" s="135">
        <v>42978</v>
      </c>
      <c r="O59" s="141">
        <f aca="true" t="shared" si="10" ref="O59:O114">+M59-K59</f>
        <v>21</v>
      </c>
      <c r="P59" s="141">
        <f aca="true" t="shared" si="11" ref="P59:P114">+N59-M59</f>
        <v>0</v>
      </c>
      <c r="Q59" s="141">
        <f aca="true" t="shared" si="12" ref="Q59:Q114">+N59-K59</f>
        <v>21</v>
      </c>
      <c r="R59" s="141">
        <f aca="true" t="shared" si="13" ref="R59:R114">+Q59-30</f>
        <v>-9</v>
      </c>
      <c r="S59" s="140">
        <v>21</v>
      </c>
      <c r="T59" s="142">
        <f aca="true" t="shared" si="14" ref="T59:T114">+P59*D59</f>
        <v>0</v>
      </c>
      <c r="U59" s="142">
        <f t="shared" si="6"/>
        <v>-2205.27</v>
      </c>
      <c r="V59" s="140">
        <f t="shared" si="7"/>
        <v>121</v>
      </c>
      <c r="Y59" s="142"/>
    </row>
    <row r="60" spans="1:25" s="138" customFormat="1" ht="12">
      <c r="A60" s="134" t="s">
        <v>217</v>
      </c>
      <c r="B60" s="135">
        <v>42928</v>
      </c>
      <c r="C60" s="151" t="s">
        <v>218</v>
      </c>
      <c r="D60" s="152">
        <v>265.99</v>
      </c>
      <c r="E60" s="145"/>
      <c r="F60" s="148"/>
      <c r="K60" s="135">
        <f>M60</f>
        <v>42928</v>
      </c>
      <c r="L60" s="135"/>
      <c r="M60" s="135">
        <f t="shared" si="9"/>
        <v>42928</v>
      </c>
      <c r="N60" s="135">
        <v>42928</v>
      </c>
      <c r="O60" s="141">
        <f t="shared" si="10"/>
        <v>0</v>
      </c>
      <c r="P60" s="141">
        <f t="shared" si="11"/>
        <v>0</v>
      </c>
      <c r="Q60" s="141">
        <f t="shared" si="12"/>
        <v>0</v>
      </c>
      <c r="R60" s="141">
        <f t="shared" si="13"/>
        <v>-30</v>
      </c>
      <c r="S60" s="140">
        <v>69</v>
      </c>
      <c r="T60" s="142">
        <f t="shared" si="14"/>
        <v>0</v>
      </c>
      <c r="U60" s="142">
        <f aca="true" t="shared" si="15" ref="U60:U114">+R60*D60</f>
        <v>-7979.700000000001</v>
      </c>
      <c r="V60" s="140">
        <f aca="true" t="shared" si="16" ref="V60:V114">IF(P60&gt;30,200+S60,100+S60)</f>
        <v>169</v>
      </c>
      <c r="Y60" s="142"/>
    </row>
    <row r="61" spans="1:25" s="138" customFormat="1" ht="12">
      <c r="A61" s="134" t="s">
        <v>219</v>
      </c>
      <c r="B61" s="135">
        <v>42935</v>
      </c>
      <c r="C61" s="151" t="s">
        <v>220</v>
      </c>
      <c r="D61" s="152">
        <v>340.39</v>
      </c>
      <c r="E61" s="145"/>
      <c r="F61" s="148"/>
      <c r="K61" s="135">
        <f>M61</f>
        <v>42935</v>
      </c>
      <c r="L61" s="135"/>
      <c r="M61" s="135">
        <f t="shared" si="9"/>
        <v>42935</v>
      </c>
      <c r="N61" s="135">
        <v>42935</v>
      </c>
      <c r="O61" s="141">
        <f t="shared" si="10"/>
        <v>0</v>
      </c>
      <c r="P61" s="141">
        <f t="shared" si="11"/>
        <v>0</v>
      </c>
      <c r="Q61" s="141">
        <f t="shared" si="12"/>
        <v>0</v>
      </c>
      <c r="R61" s="141">
        <f t="shared" si="13"/>
        <v>-30</v>
      </c>
      <c r="S61" s="140">
        <v>69</v>
      </c>
      <c r="T61" s="142">
        <f t="shared" si="14"/>
        <v>0</v>
      </c>
      <c r="U61" s="142">
        <f t="shared" si="15"/>
        <v>-10211.699999999999</v>
      </c>
      <c r="V61" s="140">
        <f t="shared" si="16"/>
        <v>169</v>
      </c>
      <c r="Y61" s="142"/>
    </row>
    <row r="62" spans="1:25" s="138" customFormat="1" ht="12">
      <c r="A62" s="134" t="s">
        <v>221</v>
      </c>
      <c r="B62" s="135">
        <v>42944</v>
      </c>
      <c r="C62" s="151" t="s">
        <v>222</v>
      </c>
      <c r="D62" s="152">
        <v>638.88</v>
      </c>
      <c r="E62" s="145"/>
      <c r="F62" s="148"/>
      <c r="K62" s="135">
        <v>42976</v>
      </c>
      <c r="L62" s="135"/>
      <c r="M62" s="135">
        <f t="shared" si="9"/>
        <v>42977</v>
      </c>
      <c r="N62" s="135">
        <v>42977</v>
      </c>
      <c r="O62" s="141">
        <f t="shared" si="10"/>
        <v>1</v>
      </c>
      <c r="P62" s="141">
        <f t="shared" si="11"/>
        <v>0</v>
      </c>
      <c r="Q62" s="141">
        <f t="shared" si="12"/>
        <v>1</v>
      </c>
      <c r="R62" s="141">
        <f t="shared" si="13"/>
        <v>-29</v>
      </c>
      <c r="S62" s="140">
        <v>29</v>
      </c>
      <c r="T62" s="142">
        <f t="shared" si="14"/>
        <v>0</v>
      </c>
      <c r="U62" s="142">
        <f t="shared" si="15"/>
        <v>-18527.52</v>
      </c>
      <c r="V62" s="140">
        <f t="shared" si="16"/>
        <v>129</v>
      </c>
      <c r="Y62" s="142"/>
    </row>
    <row r="63" spans="1:25" s="138" customFormat="1" ht="12">
      <c r="A63" s="134" t="s">
        <v>223</v>
      </c>
      <c r="B63" s="135">
        <v>42950</v>
      </c>
      <c r="C63" s="151" t="s">
        <v>224</v>
      </c>
      <c r="D63" s="152">
        <v>177.28</v>
      </c>
      <c r="E63" s="145"/>
      <c r="F63" s="148"/>
      <c r="K63" s="135">
        <v>42976</v>
      </c>
      <c r="L63" s="135"/>
      <c r="M63" s="135">
        <f t="shared" si="9"/>
        <v>42977</v>
      </c>
      <c r="N63" s="135">
        <v>42977</v>
      </c>
      <c r="O63" s="141">
        <f t="shared" si="10"/>
        <v>1</v>
      </c>
      <c r="P63" s="141">
        <f t="shared" si="11"/>
        <v>0</v>
      </c>
      <c r="Q63" s="141">
        <f t="shared" si="12"/>
        <v>1</v>
      </c>
      <c r="R63" s="141">
        <f t="shared" si="13"/>
        <v>-29</v>
      </c>
      <c r="S63" s="140">
        <v>29</v>
      </c>
      <c r="T63" s="142">
        <f t="shared" si="14"/>
        <v>0</v>
      </c>
      <c r="U63" s="142">
        <f t="shared" si="15"/>
        <v>-5141.12</v>
      </c>
      <c r="V63" s="140">
        <f t="shared" si="16"/>
        <v>129</v>
      </c>
      <c r="Y63" s="142"/>
    </row>
    <row r="64" spans="1:25" s="138" customFormat="1" ht="12">
      <c r="A64" s="134" t="s">
        <v>225</v>
      </c>
      <c r="B64" s="135">
        <v>42955</v>
      </c>
      <c r="C64" s="151" t="s">
        <v>226</v>
      </c>
      <c r="D64" s="152">
        <v>759.88</v>
      </c>
      <c r="E64" s="145"/>
      <c r="F64" s="148"/>
      <c r="K64" s="135">
        <v>42976</v>
      </c>
      <c r="L64" s="135"/>
      <c r="M64" s="135">
        <f t="shared" si="9"/>
        <v>42977</v>
      </c>
      <c r="N64" s="135">
        <v>42977</v>
      </c>
      <c r="O64" s="141">
        <f t="shared" si="10"/>
        <v>1</v>
      </c>
      <c r="P64" s="141">
        <f t="shared" si="11"/>
        <v>0</v>
      </c>
      <c r="Q64" s="141">
        <f t="shared" si="12"/>
        <v>1</v>
      </c>
      <c r="R64" s="141">
        <f t="shared" si="13"/>
        <v>-29</v>
      </c>
      <c r="S64" s="140">
        <v>29</v>
      </c>
      <c r="T64" s="142">
        <f t="shared" si="14"/>
        <v>0</v>
      </c>
      <c r="U64" s="142">
        <f t="shared" si="15"/>
        <v>-22036.52</v>
      </c>
      <c r="V64" s="140">
        <f t="shared" si="16"/>
        <v>129</v>
      </c>
      <c r="Y64" s="142"/>
    </row>
    <row r="65" spans="1:25" s="138" customFormat="1" ht="12">
      <c r="A65" s="134" t="s">
        <v>227</v>
      </c>
      <c r="B65" s="135">
        <v>42944</v>
      </c>
      <c r="C65" s="151" t="s">
        <v>228</v>
      </c>
      <c r="D65" s="152">
        <v>4610.11</v>
      </c>
      <c r="E65" s="145"/>
      <c r="F65" s="148"/>
      <c r="K65" s="135">
        <v>42976</v>
      </c>
      <c r="L65" s="135"/>
      <c r="M65" s="135">
        <f t="shared" si="9"/>
        <v>42977</v>
      </c>
      <c r="N65" s="135">
        <v>42977</v>
      </c>
      <c r="O65" s="141">
        <f t="shared" si="10"/>
        <v>1</v>
      </c>
      <c r="P65" s="141">
        <f t="shared" si="11"/>
        <v>0</v>
      </c>
      <c r="Q65" s="141">
        <f t="shared" si="12"/>
        <v>1</v>
      </c>
      <c r="R65" s="141">
        <f t="shared" si="13"/>
        <v>-29</v>
      </c>
      <c r="S65" s="140">
        <v>29</v>
      </c>
      <c r="T65" s="142">
        <f t="shared" si="14"/>
        <v>0</v>
      </c>
      <c r="U65" s="142">
        <f t="shared" si="15"/>
        <v>-133693.19</v>
      </c>
      <c r="V65" s="140">
        <f t="shared" si="16"/>
        <v>129</v>
      </c>
      <c r="Y65" s="142"/>
    </row>
    <row r="66" spans="1:25" s="138" customFormat="1" ht="12">
      <c r="A66" s="134" t="s">
        <v>229</v>
      </c>
      <c r="B66" s="135">
        <v>42944</v>
      </c>
      <c r="C66" s="151" t="s">
        <v>230</v>
      </c>
      <c r="D66" s="152">
        <v>2480.51</v>
      </c>
      <c r="E66" s="145"/>
      <c r="F66" s="148"/>
      <c r="K66" s="135">
        <v>42976</v>
      </c>
      <c r="L66" s="135"/>
      <c r="M66" s="135">
        <f t="shared" si="9"/>
        <v>42977</v>
      </c>
      <c r="N66" s="135">
        <v>42977</v>
      </c>
      <c r="O66" s="141">
        <f t="shared" si="10"/>
        <v>1</v>
      </c>
      <c r="P66" s="141">
        <f t="shared" si="11"/>
        <v>0</v>
      </c>
      <c r="Q66" s="141">
        <f t="shared" si="12"/>
        <v>1</v>
      </c>
      <c r="R66" s="141">
        <f t="shared" si="13"/>
        <v>-29</v>
      </c>
      <c r="S66" s="140">
        <v>29</v>
      </c>
      <c r="T66" s="142">
        <f t="shared" si="14"/>
        <v>0</v>
      </c>
      <c r="U66" s="142">
        <f t="shared" si="15"/>
        <v>-71934.79000000001</v>
      </c>
      <c r="V66" s="140">
        <f t="shared" si="16"/>
        <v>129</v>
      </c>
      <c r="Y66" s="142"/>
    </row>
    <row r="67" spans="1:25" s="138" customFormat="1" ht="12">
      <c r="A67" s="134" t="s">
        <v>231</v>
      </c>
      <c r="B67" s="135">
        <v>42940</v>
      </c>
      <c r="C67" s="134" t="s">
        <v>232</v>
      </c>
      <c r="D67" s="150">
        <v>159.04</v>
      </c>
      <c r="E67" s="145"/>
      <c r="F67" s="148"/>
      <c r="K67" s="135">
        <v>42976</v>
      </c>
      <c r="L67" s="135"/>
      <c r="M67" s="135">
        <f t="shared" si="9"/>
        <v>42977</v>
      </c>
      <c r="N67" s="135">
        <v>42977</v>
      </c>
      <c r="O67" s="141">
        <f t="shared" si="10"/>
        <v>1</v>
      </c>
      <c r="P67" s="141">
        <f t="shared" si="11"/>
        <v>0</v>
      </c>
      <c r="Q67" s="141">
        <f t="shared" si="12"/>
        <v>1</v>
      </c>
      <c r="R67" s="141">
        <f t="shared" si="13"/>
        <v>-29</v>
      </c>
      <c r="S67" s="140">
        <v>29</v>
      </c>
      <c r="T67" s="142">
        <f t="shared" si="14"/>
        <v>0</v>
      </c>
      <c r="U67" s="142">
        <f t="shared" si="15"/>
        <v>-4612.16</v>
      </c>
      <c r="V67" s="140">
        <f t="shared" si="16"/>
        <v>129</v>
      </c>
      <c r="Y67" s="142"/>
    </row>
    <row r="68" spans="1:25" s="138" customFormat="1" ht="12">
      <c r="A68" s="134" t="s">
        <v>233</v>
      </c>
      <c r="B68" s="135">
        <v>42948</v>
      </c>
      <c r="C68" s="151" t="s">
        <v>234</v>
      </c>
      <c r="D68" s="152">
        <v>59.05</v>
      </c>
      <c r="E68" s="145"/>
      <c r="F68" s="148"/>
      <c r="K68" s="135">
        <v>42976</v>
      </c>
      <c r="L68" s="135"/>
      <c r="M68" s="135">
        <f t="shared" si="9"/>
        <v>42978</v>
      </c>
      <c r="N68" s="135">
        <v>42978</v>
      </c>
      <c r="O68" s="141">
        <f t="shared" si="10"/>
        <v>2</v>
      </c>
      <c r="P68" s="141">
        <f t="shared" si="11"/>
        <v>0</v>
      </c>
      <c r="Q68" s="141">
        <f t="shared" si="12"/>
        <v>2</v>
      </c>
      <c r="R68" s="141">
        <f t="shared" si="13"/>
        <v>-28</v>
      </c>
      <c r="S68" s="140">
        <v>29</v>
      </c>
      <c r="T68" s="142">
        <f t="shared" si="14"/>
        <v>0</v>
      </c>
      <c r="U68" s="142">
        <f t="shared" si="15"/>
        <v>-1653.3999999999999</v>
      </c>
      <c r="V68" s="140">
        <f t="shared" si="16"/>
        <v>129</v>
      </c>
      <c r="Y68" s="142"/>
    </row>
    <row r="69" spans="1:25" s="138" customFormat="1" ht="12">
      <c r="A69" s="134" t="s">
        <v>235</v>
      </c>
      <c r="B69" s="135">
        <v>42917</v>
      </c>
      <c r="C69" s="134" t="s">
        <v>236</v>
      </c>
      <c r="D69" s="150">
        <v>3569.51</v>
      </c>
      <c r="E69" s="145"/>
      <c r="F69" s="148"/>
      <c r="K69" s="135">
        <v>42976</v>
      </c>
      <c r="L69" s="135"/>
      <c r="M69" s="135">
        <f t="shared" si="9"/>
        <v>42978</v>
      </c>
      <c r="N69" s="135">
        <v>42978</v>
      </c>
      <c r="O69" s="141">
        <f t="shared" si="10"/>
        <v>2</v>
      </c>
      <c r="P69" s="141">
        <f t="shared" si="11"/>
        <v>0</v>
      </c>
      <c r="Q69" s="141">
        <f t="shared" si="12"/>
        <v>2</v>
      </c>
      <c r="R69" s="141">
        <f t="shared" si="13"/>
        <v>-28</v>
      </c>
      <c r="S69" s="140">
        <v>29</v>
      </c>
      <c r="T69" s="142">
        <f t="shared" si="14"/>
        <v>0</v>
      </c>
      <c r="U69" s="142">
        <f t="shared" si="15"/>
        <v>-99946.28</v>
      </c>
      <c r="V69" s="140">
        <f t="shared" si="16"/>
        <v>129</v>
      </c>
      <c r="Y69" s="142"/>
    </row>
    <row r="70" spans="1:25" s="138" customFormat="1" ht="12">
      <c r="A70" s="134" t="s">
        <v>237</v>
      </c>
      <c r="B70" s="135">
        <v>42962</v>
      </c>
      <c r="C70" s="151" t="s">
        <v>238</v>
      </c>
      <c r="D70" s="152">
        <v>17668.42</v>
      </c>
      <c r="E70" s="145"/>
      <c r="F70" s="148"/>
      <c r="K70" s="135">
        <v>42976</v>
      </c>
      <c r="L70" s="135"/>
      <c r="M70" s="135">
        <f t="shared" si="9"/>
        <v>42978</v>
      </c>
      <c r="N70" s="135">
        <v>42978</v>
      </c>
      <c r="O70" s="141">
        <f t="shared" si="10"/>
        <v>2</v>
      </c>
      <c r="P70" s="141">
        <f t="shared" si="11"/>
        <v>0</v>
      </c>
      <c r="Q70" s="141">
        <f t="shared" si="12"/>
        <v>2</v>
      </c>
      <c r="R70" s="141">
        <f t="shared" si="13"/>
        <v>-28</v>
      </c>
      <c r="S70" s="140">
        <v>29</v>
      </c>
      <c r="T70" s="142">
        <f t="shared" si="14"/>
        <v>0</v>
      </c>
      <c r="U70" s="142">
        <f t="shared" si="15"/>
        <v>-494715.75999999995</v>
      </c>
      <c r="V70" s="140">
        <f t="shared" si="16"/>
        <v>129</v>
      </c>
      <c r="Y70" s="142"/>
    </row>
    <row r="71" spans="1:25" s="138" customFormat="1" ht="12">
      <c r="A71" s="134" t="s">
        <v>239</v>
      </c>
      <c r="B71" s="135">
        <v>42947</v>
      </c>
      <c r="C71" s="151" t="s">
        <v>240</v>
      </c>
      <c r="D71" s="152">
        <v>429.29</v>
      </c>
      <c r="E71" s="145"/>
      <c r="F71" s="148"/>
      <c r="K71" s="135">
        <f>M71</f>
        <v>42943</v>
      </c>
      <c r="L71" s="135"/>
      <c r="M71" s="135">
        <f t="shared" si="9"/>
        <v>42943</v>
      </c>
      <c r="N71" s="135">
        <v>42943</v>
      </c>
      <c r="O71" s="141">
        <f t="shared" si="10"/>
        <v>0</v>
      </c>
      <c r="P71" s="141">
        <f t="shared" si="11"/>
        <v>0</v>
      </c>
      <c r="Q71" s="141">
        <f t="shared" si="12"/>
        <v>0</v>
      </c>
      <c r="R71" s="141">
        <f t="shared" si="13"/>
        <v>-30</v>
      </c>
      <c r="S71" s="140">
        <v>29</v>
      </c>
      <c r="T71" s="142">
        <f t="shared" si="14"/>
        <v>0</v>
      </c>
      <c r="U71" s="142">
        <f t="shared" si="15"/>
        <v>-12878.7</v>
      </c>
      <c r="V71" s="140">
        <f t="shared" si="16"/>
        <v>129</v>
      </c>
      <c r="Y71" s="142"/>
    </row>
    <row r="72" spans="1:25" s="138" customFormat="1" ht="12">
      <c r="A72" s="134" t="s">
        <v>241</v>
      </c>
      <c r="B72" s="135">
        <v>42947</v>
      </c>
      <c r="C72" s="151" t="s">
        <v>242</v>
      </c>
      <c r="D72" s="152">
        <v>74.97</v>
      </c>
      <c r="E72" s="145"/>
      <c r="F72" s="148"/>
      <c r="K72" s="135">
        <v>42976</v>
      </c>
      <c r="L72" s="135"/>
      <c r="M72" s="135">
        <f t="shared" si="9"/>
        <v>42978</v>
      </c>
      <c r="N72" s="135">
        <v>42978</v>
      </c>
      <c r="O72" s="141">
        <f t="shared" si="10"/>
        <v>2</v>
      </c>
      <c r="P72" s="141">
        <f t="shared" si="11"/>
        <v>0</v>
      </c>
      <c r="Q72" s="141">
        <f t="shared" si="12"/>
        <v>2</v>
      </c>
      <c r="R72" s="141">
        <f t="shared" si="13"/>
        <v>-28</v>
      </c>
      <c r="S72" s="140">
        <v>22</v>
      </c>
      <c r="T72" s="142">
        <f t="shared" si="14"/>
        <v>0</v>
      </c>
      <c r="U72" s="142">
        <f t="shared" si="15"/>
        <v>-2099.16</v>
      </c>
      <c r="V72" s="140">
        <f t="shared" si="16"/>
        <v>122</v>
      </c>
      <c r="Y72" s="142"/>
    </row>
    <row r="73" spans="1:25" s="138" customFormat="1" ht="12">
      <c r="A73" s="134" t="s">
        <v>243</v>
      </c>
      <c r="B73" s="135">
        <v>42948</v>
      </c>
      <c r="C73" s="151" t="s">
        <v>244</v>
      </c>
      <c r="D73" s="152">
        <v>56.86</v>
      </c>
      <c r="E73" s="145"/>
      <c r="F73" s="148"/>
      <c r="K73" s="135">
        <f aca="true" t="shared" si="17" ref="K73:K82">M73</f>
        <v>42948</v>
      </c>
      <c r="L73" s="135"/>
      <c r="M73" s="135">
        <f t="shared" si="9"/>
        <v>42948</v>
      </c>
      <c r="N73" s="135">
        <v>42948</v>
      </c>
      <c r="O73" s="141">
        <f t="shared" si="10"/>
        <v>0</v>
      </c>
      <c r="P73" s="141">
        <f t="shared" si="11"/>
        <v>0</v>
      </c>
      <c r="Q73" s="141">
        <f t="shared" si="12"/>
        <v>0</v>
      </c>
      <c r="R73" s="141">
        <f t="shared" si="13"/>
        <v>-30</v>
      </c>
      <c r="S73" s="140">
        <v>21</v>
      </c>
      <c r="T73" s="142">
        <f t="shared" si="14"/>
        <v>0</v>
      </c>
      <c r="U73" s="142">
        <f t="shared" si="15"/>
        <v>-1705.8</v>
      </c>
      <c r="V73" s="140">
        <f t="shared" si="16"/>
        <v>121</v>
      </c>
      <c r="Y73" s="142"/>
    </row>
    <row r="74" spans="1:25" s="138" customFormat="1" ht="12">
      <c r="A74" s="134" t="s">
        <v>245</v>
      </c>
      <c r="B74" s="135">
        <v>42944</v>
      </c>
      <c r="C74" s="151" t="s">
        <v>246</v>
      </c>
      <c r="D74" s="152">
        <v>480.41</v>
      </c>
      <c r="E74" s="145"/>
      <c r="F74" s="148"/>
      <c r="K74" s="135">
        <f t="shared" si="17"/>
        <v>42963</v>
      </c>
      <c r="L74" s="135"/>
      <c r="M74" s="135">
        <f t="shared" si="9"/>
        <v>42963</v>
      </c>
      <c r="N74" s="135">
        <v>42963</v>
      </c>
      <c r="O74" s="141">
        <f t="shared" si="10"/>
        <v>0</v>
      </c>
      <c r="P74" s="141">
        <f t="shared" si="11"/>
        <v>0</v>
      </c>
      <c r="Q74" s="141">
        <f t="shared" si="12"/>
        <v>0</v>
      </c>
      <c r="R74" s="141">
        <f t="shared" si="13"/>
        <v>-30</v>
      </c>
      <c r="S74" s="140">
        <v>29</v>
      </c>
      <c r="T74" s="142">
        <f t="shared" si="14"/>
        <v>0</v>
      </c>
      <c r="U74" s="142">
        <f t="shared" si="15"/>
        <v>-14412.300000000001</v>
      </c>
      <c r="V74" s="140">
        <f t="shared" si="16"/>
        <v>129</v>
      </c>
      <c r="Y74" s="142"/>
    </row>
    <row r="75" spans="1:25" s="138" customFormat="1" ht="12">
      <c r="A75" s="134" t="s">
        <v>247</v>
      </c>
      <c r="B75" s="135">
        <v>42944</v>
      </c>
      <c r="C75" s="151" t="s">
        <v>248</v>
      </c>
      <c r="D75" s="152">
        <v>326.07</v>
      </c>
      <c r="E75" s="145"/>
      <c r="F75" s="148"/>
      <c r="K75" s="135">
        <f t="shared" si="17"/>
        <v>42963</v>
      </c>
      <c r="L75" s="135"/>
      <c r="M75" s="135">
        <f t="shared" si="9"/>
        <v>42963</v>
      </c>
      <c r="N75" s="135">
        <v>42963</v>
      </c>
      <c r="O75" s="141">
        <f t="shared" si="10"/>
        <v>0</v>
      </c>
      <c r="P75" s="141">
        <f t="shared" si="11"/>
        <v>0</v>
      </c>
      <c r="Q75" s="141">
        <f t="shared" si="12"/>
        <v>0</v>
      </c>
      <c r="R75" s="141">
        <f t="shared" si="13"/>
        <v>-30</v>
      </c>
      <c r="S75" s="140">
        <v>29</v>
      </c>
      <c r="T75" s="142">
        <f t="shared" si="14"/>
        <v>0</v>
      </c>
      <c r="U75" s="142">
        <f t="shared" si="15"/>
        <v>-9782.1</v>
      </c>
      <c r="V75" s="140">
        <f t="shared" si="16"/>
        <v>129</v>
      </c>
      <c r="Y75" s="142"/>
    </row>
    <row r="76" spans="1:25" s="138" customFormat="1" ht="12">
      <c r="A76" s="134" t="s">
        <v>249</v>
      </c>
      <c r="B76" s="135">
        <v>42944</v>
      </c>
      <c r="C76" s="151" t="s">
        <v>250</v>
      </c>
      <c r="D76" s="152">
        <v>291.79</v>
      </c>
      <c r="E76" s="145"/>
      <c r="F76" s="148"/>
      <c r="K76" s="135">
        <f t="shared" si="17"/>
        <v>42963</v>
      </c>
      <c r="L76" s="135"/>
      <c r="M76" s="135">
        <f t="shared" si="9"/>
        <v>42963</v>
      </c>
      <c r="N76" s="135">
        <v>42963</v>
      </c>
      <c r="O76" s="141">
        <f t="shared" si="10"/>
        <v>0</v>
      </c>
      <c r="P76" s="141">
        <f t="shared" si="11"/>
        <v>0</v>
      </c>
      <c r="Q76" s="141">
        <f t="shared" si="12"/>
        <v>0</v>
      </c>
      <c r="R76" s="141">
        <f t="shared" si="13"/>
        <v>-30</v>
      </c>
      <c r="S76" s="140">
        <v>29</v>
      </c>
      <c r="T76" s="142">
        <f t="shared" si="14"/>
        <v>0</v>
      </c>
      <c r="U76" s="142">
        <f t="shared" si="15"/>
        <v>-8753.7</v>
      </c>
      <c r="V76" s="140">
        <f t="shared" si="16"/>
        <v>129</v>
      </c>
      <c r="Y76" s="142"/>
    </row>
    <row r="77" spans="1:25" s="138" customFormat="1" ht="12">
      <c r="A77" s="134" t="s">
        <v>251</v>
      </c>
      <c r="B77" s="135">
        <v>42944</v>
      </c>
      <c r="C77" s="151" t="s">
        <v>252</v>
      </c>
      <c r="D77" s="152">
        <v>392.74</v>
      </c>
      <c r="E77" s="145"/>
      <c r="F77" s="148"/>
      <c r="K77" s="135">
        <f t="shared" si="17"/>
        <v>42963</v>
      </c>
      <c r="L77" s="135"/>
      <c r="M77" s="135">
        <f t="shared" si="9"/>
        <v>42963</v>
      </c>
      <c r="N77" s="135">
        <v>42963</v>
      </c>
      <c r="O77" s="141">
        <f t="shared" si="10"/>
        <v>0</v>
      </c>
      <c r="P77" s="141">
        <f t="shared" si="11"/>
        <v>0</v>
      </c>
      <c r="Q77" s="141">
        <f t="shared" si="12"/>
        <v>0</v>
      </c>
      <c r="R77" s="141">
        <f t="shared" si="13"/>
        <v>-30</v>
      </c>
      <c r="S77" s="140">
        <v>29</v>
      </c>
      <c r="T77" s="142">
        <f t="shared" si="14"/>
        <v>0</v>
      </c>
      <c r="U77" s="142">
        <f t="shared" si="15"/>
        <v>-11782.2</v>
      </c>
      <c r="V77" s="140">
        <f t="shared" si="16"/>
        <v>129</v>
      </c>
      <c r="Y77" s="142"/>
    </row>
    <row r="78" spans="1:25" s="138" customFormat="1" ht="12">
      <c r="A78" s="134" t="s">
        <v>253</v>
      </c>
      <c r="B78" s="135">
        <v>42947</v>
      </c>
      <c r="C78" s="151" t="s">
        <v>254</v>
      </c>
      <c r="D78" s="152">
        <v>1668.35</v>
      </c>
      <c r="E78" s="145"/>
      <c r="F78" s="148"/>
      <c r="K78" s="135">
        <f t="shared" si="17"/>
        <v>42947</v>
      </c>
      <c r="L78" s="135"/>
      <c r="M78" s="135">
        <f t="shared" si="9"/>
        <v>42947</v>
      </c>
      <c r="N78" s="135">
        <v>42947</v>
      </c>
      <c r="O78" s="141">
        <f t="shared" si="10"/>
        <v>0</v>
      </c>
      <c r="P78" s="141">
        <f t="shared" si="11"/>
        <v>0</v>
      </c>
      <c r="Q78" s="141">
        <f t="shared" si="12"/>
        <v>0</v>
      </c>
      <c r="R78" s="141">
        <f t="shared" si="13"/>
        <v>-30</v>
      </c>
      <c r="S78" s="140">
        <v>29</v>
      </c>
      <c r="T78" s="142">
        <f t="shared" si="14"/>
        <v>0</v>
      </c>
      <c r="U78" s="142">
        <f t="shared" si="15"/>
        <v>-50050.5</v>
      </c>
      <c r="V78" s="140">
        <f t="shared" si="16"/>
        <v>129</v>
      </c>
      <c r="Y78" s="142"/>
    </row>
    <row r="79" spans="1:25" s="138" customFormat="1" ht="12">
      <c r="A79" s="134" t="s">
        <v>255</v>
      </c>
      <c r="B79" s="135">
        <v>42947</v>
      </c>
      <c r="C79" s="151" t="s">
        <v>256</v>
      </c>
      <c r="D79" s="152">
        <v>222.04</v>
      </c>
      <c r="E79" s="145"/>
      <c r="F79" s="148"/>
      <c r="K79" s="135">
        <f t="shared" si="17"/>
        <v>42947</v>
      </c>
      <c r="L79" s="135"/>
      <c r="M79" s="135">
        <f t="shared" si="9"/>
        <v>42947</v>
      </c>
      <c r="N79" s="135">
        <v>42947</v>
      </c>
      <c r="O79" s="141">
        <f t="shared" si="10"/>
        <v>0</v>
      </c>
      <c r="P79" s="141">
        <f t="shared" si="11"/>
        <v>0</v>
      </c>
      <c r="Q79" s="141">
        <f t="shared" si="12"/>
        <v>0</v>
      </c>
      <c r="R79" s="141">
        <f t="shared" si="13"/>
        <v>-30</v>
      </c>
      <c r="S79" s="140">
        <v>29</v>
      </c>
      <c r="T79" s="142">
        <f t="shared" si="14"/>
        <v>0</v>
      </c>
      <c r="U79" s="142">
        <f t="shared" si="15"/>
        <v>-6661.2</v>
      </c>
      <c r="V79" s="140">
        <f t="shared" si="16"/>
        <v>129</v>
      </c>
      <c r="Y79" s="142"/>
    </row>
    <row r="80" spans="1:25" s="138" customFormat="1" ht="12">
      <c r="A80" s="134" t="s">
        <v>257</v>
      </c>
      <c r="B80" s="135">
        <v>42946</v>
      </c>
      <c r="C80" s="151" t="s">
        <v>258</v>
      </c>
      <c r="D80" s="152">
        <v>202.29</v>
      </c>
      <c r="E80" s="145"/>
      <c r="F80" s="148"/>
      <c r="K80" s="135">
        <f t="shared" si="17"/>
        <v>42972</v>
      </c>
      <c r="L80" s="135"/>
      <c r="M80" s="135">
        <f t="shared" si="9"/>
        <v>42972</v>
      </c>
      <c r="N80" s="135">
        <v>42972</v>
      </c>
      <c r="O80" s="141">
        <f t="shared" si="10"/>
        <v>0</v>
      </c>
      <c r="P80" s="141">
        <f t="shared" si="11"/>
        <v>0</v>
      </c>
      <c r="Q80" s="141">
        <f t="shared" si="12"/>
        <v>0</v>
      </c>
      <c r="R80" s="141">
        <f t="shared" si="13"/>
        <v>-30</v>
      </c>
      <c r="S80" s="140">
        <v>21</v>
      </c>
      <c r="T80" s="142">
        <f t="shared" si="14"/>
        <v>0</v>
      </c>
      <c r="U80" s="142">
        <f t="shared" si="15"/>
        <v>-6068.7</v>
      </c>
      <c r="V80" s="140">
        <f t="shared" si="16"/>
        <v>121</v>
      </c>
      <c r="Y80" s="142"/>
    </row>
    <row r="81" spans="1:25" s="138" customFormat="1" ht="12">
      <c r="A81" s="134" t="s">
        <v>259</v>
      </c>
      <c r="B81" s="135">
        <v>42934</v>
      </c>
      <c r="C81" s="151" t="s">
        <v>260</v>
      </c>
      <c r="D81" s="152">
        <v>1674.28</v>
      </c>
      <c r="E81" s="145"/>
      <c r="F81" s="148"/>
      <c r="K81" s="135">
        <f t="shared" si="17"/>
        <v>42933</v>
      </c>
      <c r="L81" s="135"/>
      <c r="M81" s="135">
        <f t="shared" si="9"/>
        <v>42933</v>
      </c>
      <c r="N81" s="135">
        <v>42933</v>
      </c>
      <c r="O81" s="141">
        <f t="shared" si="10"/>
        <v>0</v>
      </c>
      <c r="P81" s="141">
        <f t="shared" si="11"/>
        <v>0</v>
      </c>
      <c r="Q81" s="141">
        <f t="shared" si="12"/>
        <v>0</v>
      </c>
      <c r="R81" s="141">
        <f t="shared" si="13"/>
        <v>-30</v>
      </c>
      <c r="S81" s="140">
        <v>29</v>
      </c>
      <c r="T81" s="142">
        <f t="shared" si="14"/>
        <v>0</v>
      </c>
      <c r="U81" s="142">
        <f t="shared" si="15"/>
        <v>-50228.4</v>
      </c>
      <c r="V81" s="140">
        <f t="shared" si="16"/>
        <v>129</v>
      </c>
      <c r="Y81" s="142"/>
    </row>
    <row r="82" spans="1:25" s="138" customFormat="1" ht="12">
      <c r="A82" s="134" t="s">
        <v>261</v>
      </c>
      <c r="B82" s="135">
        <v>42936</v>
      </c>
      <c r="C82" s="151" t="s">
        <v>262</v>
      </c>
      <c r="D82" s="152">
        <v>365.03</v>
      </c>
      <c r="E82" s="145"/>
      <c r="F82" s="148"/>
      <c r="K82" s="135">
        <f t="shared" si="17"/>
        <v>42968</v>
      </c>
      <c r="L82" s="135"/>
      <c r="M82" s="135">
        <f t="shared" si="9"/>
        <v>42968</v>
      </c>
      <c r="N82" s="135">
        <v>42968</v>
      </c>
      <c r="O82" s="141">
        <f t="shared" si="10"/>
        <v>0</v>
      </c>
      <c r="P82" s="141">
        <f t="shared" si="11"/>
        <v>0</v>
      </c>
      <c r="Q82" s="141">
        <f t="shared" si="12"/>
        <v>0</v>
      </c>
      <c r="R82" s="141">
        <f t="shared" si="13"/>
        <v>-30</v>
      </c>
      <c r="S82" s="140">
        <v>21</v>
      </c>
      <c r="T82" s="142">
        <f t="shared" si="14"/>
        <v>0</v>
      </c>
      <c r="U82" s="142">
        <f t="shared" si="15"/>
        <v>-10950.9</v>
      </c>
      <c r="V82" s="140">
        <f t="shared" si="16"/>
        <v>121</v>
      </c>
      <c r="Y82" s="142"/>
    </row>
    <row r="83" spans="1:25" s="138" customFormat="1" ht="12">
      <c r="A83" s="134" t="s">
        <v>263</v>
      </c>
      <c r="B83" s="135">
        <v>42930</v>
      </c>
      <c r="C83" s="151" t="s">
        <v>264</v>
      </c>
      <c r="D83" s="152">
        <v>45.27</v>
      </c>
      <c r="E83" s="145"/>
      <c r="F83" s="148"/>
      <c r="K83" s="135">
        <v>42976</v>
      </c>
      <c r="L83" s="135"/>
      <c r="M83" s="135">
        <f t="shared" si="9"/>
        <v>42996</v>
      </c>
      <c r="N83" s="135">
        <v>42996</v>
      </c>
      <c r="O83" s="141">
        <f t="shared" si="10"/>
        <v>20</v>
      </c>
      <c r="P83" s="141">
        <f t="shared" si="11"/>
        <v>0</v>
      </c>
      <c r="Q83" s="141">
        <f t="shared" si="12"/>
        <v>20</v>
      </c>
      <c r="R83" s="141">
        <f t="shared" si="13"/>
        <v>-10</v>
      </c>
      <c r="S83" s="140">
        <v>22</v>
      </c>
      <c r="T83" s="142">
        <f t="shared" si="14"/>
        <v>0</v>
      </c>
      <c r="U83" s="142">
        <f t="shared" si="15"/>
        <v>-452.70000000000005</v>
      </c>
      <c r="V83" s="140">
        <f t="shared" si="16"/>
        <v>122</v>
      </c>
      <c r="Y83" s="142"/>
    </row>
    <row r="84" spans="1:25" s="138" customFormat="1" ht="12">
      <c r="A84" s="134" t="s">
        <v>265</v>
      </c>
      <c r="B84" s="135">
        <v>42947</v>
      </c>
      <c r="C84" s="134" t="s">
        <v>266</v>
      </c>
      <c r="D84" s="150">
        <v>16.48</v>
      </c>
      <c r="E84" s="145"/>
      <c r="F84" s="148"/>
      <c r="K84" s="135">
        <v>42976</v>
      </c>
      <c r="L84" s="135"/>
      <c r="M84" s="135">
        <f t="shared" si="9"/>
        <v>42977</v>
      </c>
      <c r="N84" s="135">
        <v>42977</v>
      </c>
      <c r="O84" s="141">
        <f t="shared" si="10"/>
        <v>1</v>
      </c>
      <c r="P84" s="141">
        <f t="shared" si="11"/>
        <v>0</v>
      </c>
      <c r="Q84" s="141">
        <f t="shared" si="12"/>
        <v>1</v>
      </c>
      <c r="R84" s="141">
        <f t="shared" si="13"/>
        <v>-29</v>
      </c>
      <c r="S84" s="140">
        <v>22</v>
      </c>
      <c r="T84" s="142">
        <f t="shared" si="14"/>
        <v>0</v>
      </c>
      <c r="U84" s="142">
        <f t="shared" si="15"/>
        <v>-477.92</v>
      </c>
      <c r="V84" s="140">
        <f t="shared" si="16"/>
        <v>122</v>
      </c>
      <c r="Y84" s="142"/>
    </row>
    <row r="85" spans="1:25" s="138" customFormat="1" ht="12">
      <c r="A85" s="134" t="s">
        <v>267</v>
      </c>
      <c r="B85" s="135">
        <v>42947</v>
      </c>
      <c r="C85" s="151" t="s">
        <v>268</v>
      </c>
      <c r="D85" s="152">
        <v>4.96</v>
      </c>
      <c r="E85" s="145"/>
      <c r="F85" s="148"/>
      <c r="K85" s="135">
        <v>42976</v>
      </c>
      <c r="L85" s="135"/>
      <c r="M85" s="135">
        <f t="shared" si="9"/>
        <v>42977</v>
      </c>
      <c r="N85" s="135">
        <v>42977</v>
      </c>
      <c r="O85" s="141">
        <f t="shared" si="10"/>
        <v>1</v>
      </c>
      <c r="P85" s="141">
        <f t="shared" si="11"/>
        <v>0</v>
      </c>
      <c r="Q85" s="141">
        <f t="shared" si="12"/>
        <v>1</v>
      </c>
      <c r="R85" s="141">
        <f t="shared" si="13"/>
        <v>-29</v>
      </c>
      <c r="S85" s="140">
        <v>22</v>
      </c>
      <c r="T85" s="142">
        <f t="shared" si="14"/>
        <v>0</v>
      </c>
      <c r="U85" s="142">
        <f t="shared" si="15"/>
        <v>-143.84</v>
      </c>
      <c r="V85" s="140">
        <f t="shared" si="16"/>
        <v>122</v>
      </c>
      <c r="Y85" s="142"/>
    </row>
    <row r="86" spans="1:25" s="138" customFormat="1" ht="12">
      <c r="A86" s="134" t="s">
        <v>269</v>
      </c>
      <c r="B86" s="135">
        <v>42935</v>
      </c>
      <c r="C86" s="151" t="s">
        <v>270</v>
      </c>
      <c r="D86" s="152">
        <v>45.54</v>
      </c>
      <c r="E86" s="145"/>
      <c r="F86" s="148"/>
      <c r="K86" s="135">
        <f>M86</f>
        <v>42948</v>
      </c>
      <c r="L86" s="135"/>
      <c r="M86" s="135">
        <f t="shared" si="9"/>
        <v>42948</v>
      </c>
      <c r="N86" s="135">
        <v>42948</v>
      </c>
      <c r="O86" s="141">
        <f t="shared" si="10"/>
        <v>0</v>
      </c>
      <c r="P86" s="141">
        <f t="shared" si="11"/>
        <v>0</v>
      </c>
      <c r="Q86" s="141">
        <f t="shared" si="12"/>
        <v>0</v>
      </c>
      <c r="R86" s="141">
        <f t="shared" si="13"/>
        <v>-30</v>
      </c>
      <c r="S86" s="140">
        <v>29</v>
      </c>
      <c r="T86" s="142">
        <f t="shared" si="14"/>
        <v>0</v>
      </c>
      <c r="U86" s="142">
        <f t="shared" si="15"/>
        <v>-1366.2</v>
      </c>
      <c r="V86" s="140">
        <f t="shared" si="16"/>
        <v>129</v>
      </c>
      <c r="Y86" s="142"/>
    </row>
    <row r="87" spans="1:25" s="138" customFormat="1" ht="12">
      <c r="A87" s="134" t="s">
        <v>271</v>
      </c>
      <c r="B87" s="135">
        <v>42934</v>
      </c>
      <c r="C87" s="151" t="s">
        <v>272</v>
      </c>
      <c r="D87" s="152">
        <v>8.52</v>
      </c>
      <c r="E87" s="145"/>
      <c r="F87" s="148"/>
      <c r="K87" s="135">
        <f>M87</f>
        <v>42942</v>
      </c>
      <c r="L87" s="135"/>
      <c r="M87" s="135">
        <f t="shared" si="9"/>
        <v>42942</v>
      </c>
      <c r="N87" s="135">
        <v>42942</v>
      </c>
      <c r="O87" s="141">
        <f t="shared" si="10"/>
        <v>0</v>
      </c>
      <c r="P87" s="141">
        <f t="shared" si="11"/>
        <v>0</v>
      </c>
      <c r="Q87" s="141">
        <f t="shared" si="12"/>
        <v>0</v>
      </c>
      <c r="R87" s="141">
        <f t="shared" si="13"/>
        <v>-30</v>
      </c>
      <c r="S87" s="140">
        <v>22</v>
      </c>
      <c r="T87" s="142">
        <f t="shared" si="14"/>
        <v>0</v>
      </c>
      <c r="U87" s="142">
        <f t="shared" si="15"/>
        <v>-255.6</v>
      </c>
      <c r="V87" s="140">
        <f t="shared" si="16"/>
        <v>122</v>
      </c>
      <c r="Y87" s="142"/>
    </row>
    <row r="88" spans="1:25" s="138" customFormat="1" ht="12">
      <c r="A88" s="134" t="s">
        <v>273</v>
      </c>
      <c r="B88" s="135">
        <v>42942</v>
      </c>
      <c r="C88" s="151" t="s">
        <v>274</v>
      </c>
      <c r="D88" s="152">
        <v>2666.84</v>
      </c>
      <c r="E88" s="145"/>
      <c r="F88" s="148"/>
      <c r="K88" s="135">
        <v>42976</v>
      </c>
      <c r="L88" s="135"/>
      <c r="M88" s="135">
        <f t="shared" si="9"/>
        <v>42978</v>
      </c>
      <c r="N88" s="135">
        <v>42978</v>
      </c>
      <c r="O88" s="141">
        <f t="shared" si="10"/>
        <v>2</v>
      </c>
      <c r="P88" s="141">
        <f t="shared" si="11"/>
        <v>0</v>
      </c>
      <c r="Q88" s="141">
        <f t="shared" si="12"/>
        <v>2</v>
      </c>
      <c r="R88" s="141">
        <f t="shared" si="13"/>
        <v>-28</v>
      </c>
      <c r="S88" s="140">
        <v>29</v>
      </c>
      <c r="T88" s="142">
        <f t="shared" si="14"/>
        <v>0</v>
      </c>
      <c r="U88" s="142">
        <f t="shared" si="15"/>
        <v>-74671.52</v>
      </c>
      <c r="V88" s="140">
        <f t="shared" si="16"/>
        <v>129</v>
      </c>
      <c r="Y88" s="142"/>
    </row>
    <row r="89" spans="1:25" s="138" customFormat="1" ht="12">
      <c r="A89" s="134" t="s">
        <v>275</v>
      </c>
      <c r="B89" s="135">
        <v>42972</v>
      </c>
      <c r="C89" s="151" t="s">
        <v>276</v>
      </c>
      <c r="D89" s="152">
        <v>1473.78</v>
      </c>
      <c r="E89" s="145"/>
      <c r="F89" s="148"/>
      <c r="K89" s="135">
        <v>42977</v>
      </c>
      <c r="L89" s="135"/>
      <c r="M89" s="135">
        <f t="shared" si="9"/>
        <v>42977</v>
      </c>
      <c r="N89" s="135">
        <v>42977</v>
      </c>
      <c r="O89" s="141">
        <f t="shared" si="10"/>
        <v>0</v>
      </c>
      <c r="P89" s="141">
        <f t="shared" si="11"/>
        <v>0</v>
      </c>
      <c r="Q89" s="141">
        <f t="shared" si="12"/>
        <v>0</v>
      </c>
      <c r="R89" s="141">
        <f t="shared" si="13"/>
        <v>-30</v>
      </c>
      <c r="S89" s="140">
        <v>21</v>
      </c>
      <c r="T89" s="142">
        <f t="shared" si="14"/>
        <v>0</v>
      </c>
      <c r="U89" s="142">
        <f t="shared" si="15"/>
        <v>-44213.4</v>
      </c>
      <c r="V89" s="140">
        <f t="shared" si="16"/>
        <v>121</v>
      </c>
      <c r="Y89" s="142"/>
    </row>
    <row r="90" spans="1:25" s="138" customFormat="1" ht="12">
      <c r="A90" s="134" t="s">
        <v>277</v>
      </c>
      <c r="B90" s="135">
        <v>42978</v>
      </c>
      <c r="C90" s="151" t="s">
        <v>278</v>
      </c>
      <c r="D90" s="152">
        <v>408.89</v>
      </c>
      <c r="E90" s="145"/>
      <c r="F90" s="148"/>
      <c r="K90" s="135">
        <f>M90</f>
        <v>42954</v>
      </c>
      <c r="L90" s="135"/>
      <c r="M90" s="135">
        <f t="shared" si="9"/>
        <v>42954</v>
      </c>
      <c r="N90" s="135">
        <v>42954</v>
      </c>
      <c r="O90" s="141">
        <f t="shared" si="10"/>
        <v>0</v>
      </c>
      <c r="P90" s="141">
        <f t="shared" si="11"/>
        <v>0</v>
      </c>
      <c r="Q90" s="141">
        <f t="shared" si="12"/>
        <v>0</v>
      </c>
      <c r="R90" s="141">
        <f t="shared" si="13"/>
        <v>-30</v>
      </c>
      <c r="S90" s="140">
        <v>29</v>
      </c>
      <c r="T90" s="142">
        <f t="shared" si="14"/>
        <v>0</v>
      </c>
      <c r="U90" s="142">
        <f t="shared" si="15"/>
        <v>-12266.699999999999</v>
      </c>
      <c r="V90" s="140">
        <f t="shared" si="16"/>
        <v>129</v>
      </c>
      <c r="Y90" s="142"/>
    </row>
    <row r="91" spans="1:25" s="138" customFormat="1" ht="12">
      <c r="A91" s="134" t="s">
        <v>279</v>
      </c>
      <c r="B91" s="135">
        <v>42948</v>
      </c>
      <c r="C91" s="151" t="s">
        <v>280</v>
      </c>
      <c r="D91" s="152">
        <v>32.7</v>
      </c>
      <c r="E91" s="145"/>
      <c r="F91" s="148"/>
      <c r="K91" s="135">
        <v>42991</v>
      </c>
      <c r="L91" s="135"/>
      <c r="M91" s="135">
        <f t="shared" si="9"/>
        <v>42993</v>
      </c>
      <c r="N91" s="135">
        <v>42993</v>
      </c>
      <c r="O91" s="141">
        <f t="shared" si="10"/>
        <v>2</v>
      </c>
      <c r="P91" s="141">
        <f t="shared" si="11"/>
        <v>0</v>
      </c>
      <c r="Q91" s="141">
        <f t="shared" si="12"/>
        <v>2</v>
      </c>
      <c r="R91" s="141">
        <f t="shared" si="13"/>
        <v>-28</v>
      </c>
      <c r="S91" s="140">
        <v>29</v>
      </c>
      <c r="T91" s="142">
        <f t="shared" si="14"/>
        <v>0</v>
      </c>
      <c r="U91" s="142">
        <f t="shared" si="15"/>
        <v>-915.6000000000001</v>
      </c>
      <c r="V91" s="140">
        <f t="shared" si="16"/>
        <v>129</v>
      </c>
      <c r="Y91" s="142"/>
    </row>
    <row r="92" spans="1:25" s="138" customFormat="1" ht="12">
      <c r="A92" s="134" t="s">
        <v>281</v>
      </c>
      <c r="B92" s="135">
        <v>42978</v>
      </c>
      <c r="C92" s="151" t="s">
        <v>282</v>
      </c>
      <c r="D92" s="152">
        <v>1807.5</v>
      </c>
      <c r="E92" s="145"/>
      <c r="F92" s="148"/>
      <c r="K92" s="135">
        <f>M92</f>
        <v>42978</v>
      </c>
      <c r="L92" s="135"/>
      <c r="M92" s="135">
        <f t="shared" si="9"/>
        <v>42978</v>
      </c>
      <c r="N92" s="135">
        <v>42978</v>
      </c>
      <c r="O92" s="141">
        <f t="shared" si="10"/>
        <v>0</v>
      </c>
      <c r="P92" s="141">
        <f t="shared" si="11"/>
        <v>0</v>
      </c>
      <c r="Q92" s="141">
        <f t="shared" si="12"/>
        <v>0</v>
      </c>
      <c r="R92" s="141">
        <f t="shared" si="13"/>
        <v>-30</v>
      </c>
      <c r="S92" s="140">
        <v>29</v>
      </c>
      <c r="T92" s="142">
        <f t="shared" si="14"/>
        <v>0</v>
      </c>
      <c r="U92" s="142">
        <f t="shared" si="15"/>
        <v>-54225</v>
      </c>
      <c r="V92" s="140">
        <f t="shared" si="16"/>
        <v>129</v>
      </c>
      <c r="Y92" s="142"/>
    </row>
    <row r="93" spans="1:25" s="138" customFormat="1" ht="12">
      <c r="A93" s="134" t="s">
        <v>283</v>
      </c>
      <c r="B93" s="135">
        <v>42989</v>
      </c>
      <c r="C93" s="151" t="s">
        <v>284</v>
      </c>
      <c r="D93" s="152">
        <v>2747.68</v>
      </c>
      <c r="E93" s="145"/>
      <c r="F93" s="148"/>
      <c r="K93" s="135">
        <v>42991</v>
      </c>
      <c r="L93" s="135"/>
      <c r="M93" s="135">
        <f t="shared" si="9"/>
        <v>42993</v>
      </c>
      <c r="N93" s="135">
        <v>42993</v>
      </c>
      <c r="O93" s="141">
        <f t="shared" si="10"/>
        <v>2</v>
      </c>
      <c r="P93" s="141">
        <f t="shared" si="11"/>
        <v>0</v>
      </c>
      <c r="Q93" s="141">
        <f t="shared" si="12"/>
        <v>2</v>
      </c>
      <c r="R93" s="141">
        <f t="shared" si="13"/>
        <v>-28</v>
      </c>
      <c r="S93" s="140">
        <v>20</v>
      </c>
      <c r="T93" s="142">
        <f t="shared" si="14"/>
        <v>0</v>
      </c>
      <c r="U93" s="142">
        <f t="shared" si="15"/>
        <v>-76935.04</v>
      </c>
      <c r="V93" s="140">
        <f t="shared" si="16"/>
        <v>120</v>
      </c>
      <c r="Y93" s="142"/>
    </row>
    <row r="94" spans="1:25" s="138" customFormat="1" ht="12">
      <c r="A94" s="134" t="s">
        <v>285</v>
      </c>
      <c r="B94" s="135">
        <v>42989</v>
      </c>
      <c r="C94" s="151" t="s">
        <v>286</v>
      </c>
      <c r="D94" s="152">
        <v>6644.91</v>
      </c>
      <c r="E94" s="145"/>
      <c r="F94" s="148"/>
      <c r="K94" s="135">
        <v>42991</v>
      </c>
      <c r="L94" s="135"/>
      <c r="M94" s="135">
        <f t="shared" si="9"/>
        <v>42993</v>
      </c>
      <c r="N94" s="135">
        <v>42993</v>
      </c>
      <c r="O94" s="141">
        <f t="shared" si="10"/>
        <v>2</v>
      </c>
      <c r="P94" s="141">
        <f t="shared" si="11"/>
        <v>0</v>
      </c>
      <c r="Q94" s="141">
        <f t="shared" si="12"/>
        <v>2</v>
      </c>
      <c r="R94" s="141">
        <f t="shared" si="13"/>
        <v>-28</v>
      </c>
      <c r="S94" s="140">
        <v>22</v>
      </c>
      <c r="T94" s="142">
        <f t="shared" si="14"/>
        <v>0</v>
      </c>
      <c r="U94" s="142">
        <f t="shared" si="15"/>
        <v>-186057.47999999998</v>
      </c>
      <c r="V94" s="140">
        <f t="shared" si="16"/>
        <v>122</v>
      </c>
      <c r="Y94" s="142"/>
    </row>
    <row r="95" spans="1:25" s="138" customFormat="1" ht="12">
      <c r="A95" s="134" t="s">
        <v>287</v>
      </c>
      <c r="B95" s="135">
        <v>42989</v>
      </c>
      <c r="C95" s="151" t="s">
        <v>288</v>
      </c>
      <c r="D95" s="152">
        <v>1661.23</v>
      </c>
      <c r="E95" s="145"/>
      <c r="F95" s="148"/>
      <c r="K95" s="135">
        <v>42991</v>
      </c>
      <c r="L95" s="135"/>
      <c r="M95" s="135">
        <f t="shared" si="9"/>
        <v>42993</v>
      </c>
      <c r="N95" s="135">
        <v>42993</v>
      </c>
      <c r="O95" s="141">
        <f t="shared" si="10"/>
        <v>2</v>
      </c>
      <c r="P95" s="141">
        <f t="shared" si="11"/>
        <v>0</v>
      </c>
      <c r="Q95" s="141">
        <f t="shared" si="12"/>
        <v>2</v>
      </c>
      <c r="R95" s="141">
        <f t="shared" si="13"/>
        <v>-28</v>
      </c>
      <c r="S95" s="140">
        <v>20</v>
      </c>
      <c r="T95" s="142">
        <f t="shared" si="14"/>
        <v>0</v>
      </c>
      <c r="U95" s="142">
        <f t="shared" si="15"/>
        <v>-46514.44</v>
      </c>
      <c r="V95" s="140">
        <f t="shared" si="16"/>
        <v>120</v>
      </c>
      <c r="Y95" s="142"/>
    </row>
    <row r="96" spans="1:25" s="138" customFormat="1" ht="12">
      <c r="A96" s="134" t="s">
        <v>289</v>
      </c>
      <c r="B96" s="135">
        <v>42989</v>
      </c>
      <c r="C96" s="151" t="s">
        <v>290</v>
      </c>
      <c r="D96" s="152">
        <v>10990.75</v>
      </c>
      <c r="E96" s="145"/>
      <c r="F96" s="148"/>
      <c r="K96" s="135">
        <v>42991</v>
      </c>
      <c r="L96" s="135"/>
      <c r="M96" s="135">
        <f t="shared" si="9"/>
        <v>42993</v>
      </c>
      <c r="N96" s="135">
        <v>42993</v>
      </c>
      <c r="O96" s="141">
        <f t="shared" si="10"/>
        <v>2</v>
      </c>
      <c r="P96" s="141">
        <f t="shared" si="11"/>
        <v>0</v>
      </c>
      <c r="Q96" s="141">
        <f t="shared" si="12"/>
        <v>2</v>
      </c>
      <c r="R96" s="141">
        <f t="shared" si="13"/>
        <v>-28</v>
      </c>
      <c r="S96" s="140">
        <v>22</v>
      </c>
      <c r="T96" s="142">
        <f t="shared" si="14"/>
        <v>0</v>
      </c>
      <c r="U96" s="142">
        <f t="shared" si="15"/>
        <v>-307741</v>
      </c>
      <c r="V96" s="140">
        <f t="shared" si="16"/>
        <v>122</v>
      </c>
      <c r="Y96" s="142"/>
    </row>
    <row r="97" spans="1:25" s="138" customFormat="1" ht="12">
      <c r="A97" s="134" t="s">
        <v>291</v>
      </c>
      <c r="B97" s="135">
        <v>42979</v>
      </c>
      <c r="C97" s="151" t="s">
        <v>292</v>
      </c>
      <c r="D97" s="152">
        <v>33</v>
      </c>
      <c r="E97" s="145"/>
      <c r="F97" s="148"/>
      <c r="K97" s="135">
        <v>42991</v>
      </c>
      <c r="L97" s="135"/>
      <c r="M97" s="135">
        <f t="shared" si="9"/>
        <v>42993</v>
      </c>
      <c r="N97" s="135">
        <v>42993</v>
      </c>
      <c r="O97" s="141">
        <f t="shared" si="10"/>
        <v>2</v>
      </c>
      <c r="P97" s="141">
        <f t="shared" si="11"/>
        <v>0</v>
      </c>
      <c r="Q97" s="141">
        <f t="shared" si="12"/>
        <v>2</v>
      </c>
      <c r="R97" s="141">
        <f t="shared" si="13"/>
        <v>-28</v>
      </c>
      <c r="S97" s="140">
        <v>29</v>
      </c>
      <c r="T97" s="142">
        <f t="shared" si="14"/>
        <v>0</v>
      </c>
      <c r="U97" s="142">
        <f t="shared" si="15"/>
        <v>-924</v>
      </c>
      <c r="V97" s="140">
        <f t="shared" si="16"/>
        <v>129</v>
      </c>
      <c r="Y97" s="142"/>
    </row>
    <row r="98" spans="1:25" s="138" customFormat="1" ht="12">
      <c r="A98" s="134" t="s">
        <v>293</v>
      </c>
      <c r="B98" s="135">
        <v>42978</v>
      </c>
      <c r="C98" s="151" t="s">
        <v>294</v>
      </c>
      <c r="D98" s="152">
        <v>50.8</v>
      </c>
      <c r="E98" s="145"/>
      <c r="F98" s="148"/>
      <c r="K98" s="135">
        <v>42991</v>
      </c>
      <c r="L98" s="135"/>
      <c r="M98" s="135">
        <f t="shared" si="9"/>
        <v>42993</v>
      </c>
      <c r="N98" s="135">
        <v>42993</v>
      </c>
      <c r="O98" s="141">
        <f t="shared" si="10"/>
        <v>2</v>
      </c>
      <c r="P98" s="141">
        <f t="shared" si="11"/>
        <v>0</v>
      </c>
      <c r="Q98" s="141">
        <f t="shared" si="12"/>
        <v>2</v>
      </c>
      <c r="R98" s="141">
        <f t="shared" si="13"/>
        <v>-28</v>
      </c>
      <c r="S98" s="140">
        <v>29</v>
      </c>
      <c r="T98" s="142">
        <f t="shared" si="14"/>
        <v>0</v>
      </c>
      <c r="U98" s="142">
        <f t="shared" si="15"/>
        <v>-1422.3999999999999</v>
      </c>
      <c r="V98" s="140">
        <f t="shared" si="16"/>
        <v>129</v>
      </c>
      <c r="Y98" s="142"/>
    </row>
    <row r="99" spans="1:25" s="140" customFormat="1" ht="12">
      <c r="A99" s="134" t="s">
        <v>295</v>
      </c>
      <c r="B99" s="135">
        <v>42978</v>
      </c>
      <c r="C99" s="151" t="s">
        <v>296</v>
      </c>
      <c r="D99" s="152">
        <v>23.86</v>
      </c>
      <c r="E99" s="145"/>
      <c r="F99" s="148"/>
      <c r="K99" s="135">
        <v>42991</v>
      </c>
      <c r="L99" s="135"/>
      <c r="M99" s="135">
        <f t="shared" si="9"/>
        <v>42993</v>
      </c>
      <c r="N99" s="135">
        <v>42993</v>
      </c>
      <c r="O99" s="141">
        <f t="shared" si="10"/>
        <v>2</v>
      </c>
      <c r="P99" s="141">
        <f t="shared" si="11"/>
        <v>0</v>
      </c>
      <c r="Q99" s="141">
        <f t="shared" si="12"/>
        <v>2</v>
      </c>
      <c r="R99" s="141">
        <f t="shared" si="13"/>
        <v>-28</v>
      </c>
      <c r="S99" s="140">
        <v>22</v>
      </c>
      <c r="T99" s="142">
        <f t="shared" si="14"/>
        <v>0</v>
      </c>
      <c r="U99" s="142">
        <f t="shared" si="15"/>
        <v>-668.0799999999999</v>
      </c>
      <c r="V99" s="140">
        <f t="shared" si="16"/>
        <v>122</v>
      </c>
      <c r="Y99" s="142"/>
    </row>
    <row r="100" spans="1:25" s="140" customFormat="1" ht="12">
      <c r="A100" s="134" t="s">
        <v>297</v>
      </c>
      <c r="B100" s="135">
        <v>42978</v>
      </c>
      <c r="C100" s="151" t="s">
        <v>298</v>
      </c>
      <c r="D100" s="152">
        <v>52.49</v>
      </c>
      <c r="E100" s="145"/>
      <c r="F100" s="148"/>
      <c r="K100" s="135">
        <f>M100</f>
        <v>42983</v>
      </c>
      <c r="L100" s="135"/>
      <c r="M100" s="135">
        <f t="shared" si="9"/>
        <v>42983</v>
      </c>
      <c r="N100" s="135">
        <v>42983</v>
      </c>
      <c r="O100" s="141">
        <f t="shared" si="10"/>
        <v>0</v>
      </c>
      <c r="P100" s="141">
        <f t="shared" si="11"/>
        <v>0</v>
      </c>
      <c r="Q100" s="141">
        <f t="shared" si="12"/>
        <v>0</v>
      </c>
      <c r="R100" s="141">
        <f t="shared" si="13"/>
        <v>-30</v>
      </c>
      <c r="S100" s="140">
        <v>29</v>
      </c>
      <c r="T100" s="142">
        <f t="shared" si="14"/>
        <v>0</v>
      </c>
      <c r="U100" s="142">
        <f t="shared" si="15"/>
        <v>-1574.7</v>
      </c>
      <c r="V100" s="140">
        <f t="shared" si="16"/>
        <v>129</v>
      </c>
      <c r="Y100" s="142"/>
    </row>
    <row r="101" spans="1:25" s="140" customFormat="1" ht="12">
      <c r="A101" s="134" t="s">
        <v>299</v>
      </c>
      <c r="B101" s="135">
        <v>42985</v>
      </c>
      <c r="C101" s="151" t="s">
        <v>300</v>
      </c>
      <c r="D101" s="152">
        <v>205</v>
      </c>
      <c r="E101" s="145"/>
      <c r="F101" s="148"/>
      <c r="K101" s="135">
        <v>42991</v>
      </c>
      <c r="L101" s="135"/>
      <c r="M101" s="135">
        <f t="shared" si="9"/>
        <v>42993</v>
      </c>
      <c r="N101" s="135">
        <v>42993</v>
      </c>
      <c r="O101" s="141">
        <f t="shared" si="10"/>
        <v>2</v>
      </c>
      <c r="P101" s="141">
        <f t="shared" si="11"/>
        <v>0</v>
      </c>
      <c r="Q101" s="141">
        <f t="shared" si="12"/>
        <v>2</v>
      </c>
      <c r="R101" s="141">
        <f t="shared" si="13"/>
        <v>-28</v>
      </c>
      <c r="S101" s="140">
        <v>29</v>
      </c>
      <c r="T101" s="142">
        <f t="shared" si="14"/>
        <v>0</v>
      </c>
      <c r="U101" s="142">
        <f t="shared" si="15"/>
        <v>-5740</v>
      </c>
      <c r="V101" s="140">
        <f t="shared" si="16"/>
        <v>129</v>
      </c>
      <c r="Y101" s="142"/>
    </row>
    <row r="102" spans="1:25" s="138" customFormat="1" ht="12">
      <c r="A102" s="134" t="s">
        <v>301</v>
      </c>
      <c r="B102" s="135">
        <v>42942</v>
      </c>
      <c r="C102" s="151" t="s">
        <v>302</v>
      </c>
      <c r="D102" s="152">
        <v>190.04</v>
      </c>
      <c r="E102" s="145"/>
      <c r="F102" s="148"/>
      <c r="K102" s="135">
        <v>42991</v>
      </c>
      <c r="L102" s="135"/>
      <c r="M102" s="135">
        <f t="shared" si="9"/>
        <v>42993</v>
      </c>
      <c r="N102" s="135">
        <v>42993</v>
      </c>
      <c r="O102" s="141">
        <f t="shared" si="10"/>
        <v>2</v>
      </c>
      <c r="P102" s="141">
        <f t="shared" si="11"/>
        <v>0</v>
      </c>
      <c r="Q102" s="141">
        <f t="shared" si="12"/>
        <v>2</v>
      </c>
      <c r="R102" s="141">
        <f t="shared" si="13"/>
        <v>-28</v>
      </c>
      <c r="S102" s="140">
        <v>29</v>
      </c>
      <c r="T102" s="142">
        <f t="shared" si="14"/>
        <v>0</v>
      </c>
      <c r="U102" s="142">
        <f t="shared" si="15"/>
        <v>-5321.12</v>
      </c>
      <c r="V102" s="140">
        <f t="shared" si="16"/>
        <v>129</v>
      </c>
      <c r="Y102" s="142"/>
    </row>
    <row r="103" spans="1:25" s="138" customFormat="1" ht="12">
      <c r="A103" s="134" t="s">
        <v>303</v>
      </c>
      <c r="B103" s="135">
        <v>42967</v>
      </c>
      <c r="C103" s="151" t="s">
        <v>304</v>
      </c>
      <c r="D103" s="152">
        <v>1400</v>
      </c>
      <c r="E103" s="145"/>
      <c r="F103" s="148"/>
      <c r="K103" s="135">
        <v>42991</v>
      </c>
      <c r="L103" s="135"/>
      <c r="M103" s="135">
        <f t="shared" si="9"/>
        <v>42993</v>
      </c>
      <c r="N103" s="135">
        <v>42993</v>
      </c>
      <c r="O103" s="141">
        <f t="shared" si="10"/>
        <v>2</v>
      </c>
      <c r="P103" s="141">
        <f t="shared" si="11"/>
        <v>0</v>
      </c>
      <c r="Q103" s="141">
        <f t="shared" si="12"/>
        <v>2</v>
      </c>
      <c r="R103" s="141">
        <f t="shared" si="13"/>
        <v>-28</v>
      </c>
      <c r="S103" s="140">
        <v>29</v>
      </c>
      <c r="T103" s="142">
        <f t="shared" si="14"/>
        <v>0</v>
      </c>
      <c r="U103" s="142">
        <f t="shared" si="15"/>
        <v>-39200</v>
      </c>
      <c r="V103" s="140">
        <f t="shared" si="16"/>
        <v>129</v>
      </c>
      <c r="Y103" s="142"/>
    </row>
    <row r="104" spans="1:25" s="138" customFormat="1" ht="12">
      <c r="A104" s="134" t="s">
        <v>305</v>
      </c>
      <c r="B104" s="135">
        <v>42976</v>
      </c>
      <c r="C104" s="151" t="s">
        <v>306</v>
      </c>
      <c r="D104" s="152">
        <v>127.66</v>
      </c>
      <c r="E104" s="145"/>
      <c r="F104" s="148"/>
      <c r="K104" s="135">
        <v>42991</v>
      </c>
      <c r="L104" s="135"/>
      <c r="M104" s="135">
        <f t="shared" si="9"/>
        <v>42993</v>
      </c>
      <c r="N104" s="135">
        <v>42993</v>
      </c>
      <c r="O104" s="141">
        <f t="shared" si="10"/>
        <v>2</v>
      </c>
      <c r="P104" s="141">
        <f t="shared" si="11"/>
        <v>0</v>
      </c>
      <c r="Q104" s="141">
        <f t="shared" si="12"/>
        <v>2</v>
      </c>
      <c r="R104" s="141">
        <f t="shared" si="13"/>
        <v>-28</v>
      </c>
      <c r="S104" s="140">
        <v>21</v>
      </c>
      <c r="T104" s="142">
        <f t="shared" si="14"/>
        <v>0</v>
      </c>
      <c r="U104" s="142">
        <f t="shared" si="15"/>
        <v>-3574.48</v>
      </c>
      <c r="V104" s="140">
        <f t="shared" si="16"/>
        <v>121</v>
      </c>
      <c r="Y104" s="142"/>
    </row>
    <row r="105" spans="1:25" s="138" customFormat="1" ht="12">
      <c r="A105" s="134" t="s">
        <v>307</v>
      </c>
      <c r="B105" s="135">
        <v>42976</v>
      </c>
      <c r="C105" s="151" t="s">
        <v>308</v>
      </c>
      <c r="D105" s="152">
        <v>151.25</v>
      </c>
      <c r="E105" s="145"/>
      <c r="F105" s="148"/>
      <c r="K105" s="135">
        <v>42991</v>
      </c>
      <c r="L105" s="135"/>
      <c r="M105" s="135">
        <f t="shared" si="9"/>
        <v>42993</v>
      </c>
      <c r="N105" s="135">
        <v>42993</v>
      </c>
      <c r="O105" s="141">
        <f t="shared" si="10"/>
        <v>2</v>
      </c>
      <c r="P105" s="141">
        <f t="shared" si="11"/>
        <v>0</v>
      </c>
      <c r="Q105" s="141">
        <f t="shared" si="12"/>
        <v>2</v>
      </c>
      <c r="R105" s="141">
        <f t="shared" si="13"/>
        <v>-28</v>
      </c>
      <c r="S105" s="140">
        <v>21</v>
      </c>
      <c r="T105" s="142">
        <f t="shared" si="14"/>
        <v>0</v>
      </c>
      <c r="U105" s="142">
        <f t="shared" si="15"/>
        <v>-4235</v>
      </c>
      <c r="V105" s="140">
        <f t="shared" si="16"/>
        <v>121</v>
      </c>
      <c r="Y105" s="142"/>
    </row>
    <row r="106" spans="1:25" s="138" customFormat="1" ht="12">
      <c r="A106" s="134" t="s">
        <v>309</v>
      </c>
      <c r="B106" s="135">
        <v>42989</v>
      </c>
      <c r="C106" s="151" t="s">
        <v>310</v>
      </c>
      <c r="D106" s="152">
        <v>2676.59</v>
      </c>
      <c r="E106" s="145"/>
      <c r="F106" s="148"/>
      <c r="K106" s="135">
        <v>42992</v>
      </c>
      <c r="L106" s="135"/>
      <c r="M106" s="135">
        <f t="shared" si="9"/>
        <v>42993</v>
      </c>
      <c r="N106" s="135">
        <v>42993</v>
      </c>
      <c r="O106" s="141">
        <f t="shared" si="10"/>
        <v>1</v>
      </c>
      <c r="P106" s="141">
        <f t="shared" si="11"/>
        <v>0</v>
      </c>
      <c r="Q106" s="141">
        <f t="shared" si="12"/>
        <v>1</v>
      </c>
      <c r="R106" s="141">
        <f t="shared" si="13"/>
        <v>-29</v>
      </c>
      <c r="S106" s="140">
        <v>29</v>
      </c>
      <c r="T106" s="142">
        <f t="shared" si="14"/>
        <v>0</v>
      </c>
      <c r="U106" s="142">
        <f t="shared" si="15"/>
        <v>-77621.11</v>
      </c>
      <c r="V106" s="140">
        <f t="shared" si="16"/>
        <v>129</v>
      </c>
      <c r="Y106" s="142"/>
    </row>
    <row r="107" spans="1:25" s="140" customFormat="1" ht="12">
      <c r="A107" s="134" t="s">
        <v>311</v>
      </c>
      <c r="B107" s="135">
        <v>42989</v>
      </c>
      <c r="C107" s="151" t="s">
        <v>312</v>
      </c>
      <c r="D107" s="152">
        <v>13794</v>
      </c>
      <c r="E107" s="145"/>
      <c r="F107" s="148"/>
      <c r="K107" s="135">
        <v>42992</v>
      </c>
      <c r="L107" s="135"/>
      <c r="M107" s="135">
        <f t="shared" si="9"/>
        <v>42993</v>
      </c>
      <c r="N107" s="135">
        <v>42993</v>
      </c>
      <c r="O107" s="141">
        <f t="shared" si="10"/>
        <v>1</v>
      </c>
      <c r="P107" s="141">
        <f t="shared" si="11"/>
        <v>0</v>
      </c>
      <c r="Q107" s="141">
        <f t="shared" si="12"/>
        <v>1</v>
      </c>
      <c r="R107" s="141">
        <f t="shared" si="13"/>
        <v>-29</v>
      </c>
      <c r="S107" s="140">
        <v>29</v>
      </c>
      <c r="T107" s="142">
        <f t="shared" si="14"/>
        <v>0</v>
      </c>
      <c r="U107" s="142">
        <f t="shared" si="15"/>
        <v>-400026</v>
      </c>
      <c r="V107" s="140">
        <f t="shared" si="16"/>
        <v>129</v>
      </c>
      <c r="Y107" s="142"/>
    </row>
    <row r="108" spans="1:25" s="138" customFormat="1" ht="12">
      <c r="A108" s="134" t="s">
        <v>313</v>
      </c>
      <c r="B108" s="135">
        <v>43008</v>
      </c>
      <c r="C108" s="151" t="s">
        <v>138</v>
      </c>
      <c r="D108" s="152">
        <v>2754</v>
      </c>
      <c r="E108" s="145"/>
      <c r="F108" s="148"/>
      <c r="K108" s="135">
        <v>42992</v>
      </c>
      <c r="L108" s="135"/>
      <c r="M108" s="135">
        <f t="shared" si="9"/>
        <v>43007</v>
      </c>
      <c r="N108" s="135">
        <v>43007</v>
      </c>
      <c r="O108" s="141">
        <f t="shared" si="10"/>
        <v>15</v>
      </c>
      <c r="P108" s="141">
        <f t="shared" si="11"/>
        <v>0</v>
      </c>
      <c r="Q108" s="141">
        <f t="shared" si="12"/>
        <v>15</v>
      </c>
      <c r="R108" s="141">
        <f t="shared" si="13"/>
        <v>-15</v>
      </c>
      <c r="S108" s="140">
        <v>29</v>
      </c>
      <c r="T108" s="142">
        <f t="shared" si="14"/>
        <v>0</v>
      </c>
      <c r="U108" s="142">
        <f t="shared" si="15"/>
        <v>-41310</v>
      </c>
      <c r="V108" s="140">
        <f t="shared" si="16"/>
        <v>129</v>
      </c>
      <c r="Y108" s="142"/>
    </row>
    <row r="109" spans="1:25" s="138" customFormat="1" ht="12">
      <c r="A109" s="134" t="s">
        <v>314</v>
      </c>
      <c r="B109" s="135">
        <v>42917</v>
      </c>
      <c r="C109" s="151" t="s">
        <v>315</v>
      </c>
      <c r="D109" s="152">
        <v>0.9</v>
      </c>
      <c r="E109" s="145"/>
      <c r="F109" s="148"/>
      <c r="K109" s="135">
        <f aca="true" t="shared" si="18" ref="K109:K117">M109</f>
        <v>42963</v>
      </c>
      <c r="L109" s="135"/>
      <c r="M109" s="135">
        <f t="shared" si="9"/>
        <v>42963</v>
      </c>
      <c r="N109" s="135">
        <v>42963</v>
      </c>
      <c r="O109" s="141">
        <f t="shared" si="10"/>
        <v>0</v>
      </c>
      <c r="P109" s="141">
        <f t="shared" si="11"/>
        <v>0</v>
      </c>
      <c r="Q109" s="141">
        <f t="shared" si="12"/>
        <v>0</v>
      </c>
      <c r="R109" s="141">
        <f t="shared" si="13"/>
        <v>-30</v>
      </c>
      <c r="S109" s="140">
        <v>22</v>
      </c>
      <c r="T109" s="142">
        <f t="shared" si="14"/>
        <v>0</v>
      </c>
      <c r="U109" s="142">
        <f t="shared" si="15"/>
        <v>-27</v>
      </c>
      <c r="V109" s="140">
        <f t="shared" si="16"/>
        <v>122</v>
      </c>
      <c r="Y109" s="142"/>
    </row>
    <row r="110" spans="1:25" s="140" customFormat="1" ht="12">
      <c r="A110" s="134" t="s">
        <v>316</v>
      </c>
      <c r="B110" s="135">
        <v>42948</v>
      </c>
      <c r="C110" s="151" t="s">
        <v>317</v>
      </c>
      <c r="D110" s="152">
        <v>217.8</v>
      </c>
      <c r="E110" s="145"/>
      <c r="F110" s="148"/>
      <c r="K110" s="135">
        <f t="shared" si="18"/>
        <v>42954</v>
      </c>
      <c r="L110" s="135"/>
      <c r="M110" s="135">
        <f t="shared" si="9"/>
        <v>42954</v>
      </c>
      <c r="N110" s="135">
        <v>42954</v>
      </c>
      <c r="O110" s="141">
        <f t="shared" si="10"/>
        <v>0</v>
      </c>
      <c r="P110" s="141">
        <f t="shared" si="11"/>
        <v>0</v>
      </c>
      <c r="Q110" s="141">
        <f t="shared" si="12"/>
        <v>0</v>
      </c>
      <c r="R110" s="141">
        <f t="shared" si="13"/>
        <v>-30</v>
      </c>
      <c r="S110" s="140">
        <v>20</v>
      </c>
      <c r="T110" s="142">
        <f t="shared" si="14"/>
        <v>0</v>
      </c>
      <c r="U110" s="142">
        <f t="shared" si="15"/>
        <v>-6534</v>
      </c>
      <c r="V110" s="140">
        <f t="shared" si="16"/>
        <v>120</v>
      </c>
      <c r="Y110" s="142"/>
    </row>
    <row r="111" spans="1:25" s="140" customFormat="1" ht="12">
      <c r="A111" s="134" t="s">
        <v>318</v>
      </c>
      <c r="B111" s="135">
        <v>42948</v>
      </c>
      <c r="C111" s="151" t="s">
        <v>319</v>
      </c>
      <c r="D111" s="152">
        <v>61.41</v>
      </c>
      <c r="E111" s="145"/>
      <c r="F111" s="148"/>
      <c r="K111" s="135">
        <f t="shared" si="18"/>
        <v>42954</v>
      </c>
      <c r="L111" s="135"/>
      <c r="M111" s="135">
        <f t="shared" si="9"/>
        <v>42954</v>
      </c>
      <c r="N111" s="135">
        <v>42954</v>
      </c>
      <c r="O111" s="141">
        <f t="shared" si="10"/>
        <v>0</v>
      </c>
      <c r="P111" s="141">
        <f t="shared" si="11"/>
        <v>0</v>
      </c>
      <c r="Q111" s="141">
        <f t="shared" si="12"/>
        <v>0</v>
      </c>
      <c r="R111" s="141">
        <f t="shared" si="13"/>
        <v>-30</v>
      </c>
      <c r="S111" s="140">
        <v>20</v>
      </c>
      <c r="T111" s="142">
        <f t="shared" si="14"/>
        <v>0</v>
      </c>
      <c r="U111" s="142">
        <f t="shared" si="15"/>
        <v>-1842.3</v>
      </c>
      <c r="V111" s="140">
        <f t="shared" si="16"/>
        <v>120</v>
      </c>
      <c r="Y111" s="142"/>
    </row>
    <row r="112" spans="1:25" s="140" customFormat="1" ht="12">
      <c r="A112" s="134" t="s">
        <v>320</v>
      </c>
      <c r="B112" s="135">
        <v>42948</v>
      </c>
      <c r="C112" s="151" t="s">
        <v>321</v>
      </c>
      <c r="D112" s="152">
        <v>28.6</v>
      </c>
      <c r="E112" s="145"/>
      <c r="F112" s="148"/>
      <c r="K112" s="135">
        <f t="shared" si="18"/>
        <v>42954</v>
      </c>
      <c r="L112" s="135"/>
      <c r="M112" s="135">
        <f t="shared" si="9"/>
        <v>42954</v>
      </c>
      <c r="N112" s="135">
        <v>42954</v>
      </c>
      <c r="O112" s="141">
        <f t="shared" si="10"/>
        <v>0</v>
      </c>
      <c r="P112" s="141">
        <f t="shared" si="11"/>
        <v>0</v>
      </c>
      <c r="Q112" s="141">
        <f t="shared" si="12"/>
        <v>0</v>
      </c>
      <c r="R112" s="141">
        <f t="shared" si="13"/>
        <v>-30</v>
      </c>
      <c r="S112" s="140">
        <v>20</v>
      </c>
      <c r="T112" s="142">
        <f t="shared" si="14"/>
        <v>0</v>
      </c>
      <c r="U112" s="142">
        <f t="shared" si="15"/>
        <v>-858</v>
      </c>
      <c r="V112" s="140">
        <f t="shared" si="16"/>
        <v>120</v>
      </c>
      <c r="Y112" s="142"/>
    </row>
    <row r="113" spans="1:25" s="140" customFormat="1" ht="12">
      <c r="A113" s="134" t="s">
        <v>322</v>
      </c>
      <c r="B113" s="135">
        <v>42979</v>
      </c>
      <c r="C113" s="151" t="s">
        <v>323</v>
      </c>
      <c r="D113" s="152">
        <v>217.8</v>
      </c>
      <c r="E113" s="145"/>
      <c r="F113" s="148"/>
      <c r="K113" s="135">
        <f t="shared" si="18"/>
        <v>42983</v>
      </c>
      <c r="L113" s="135"/>
      <c r="M113" s="135">
        <f t="shared" si="9"/>
        <v>42983</v>
      </c>
      <c r="N113" s="135">
        <v>42983</v>
      </c>
      <c r="O113" s="141">
        <f t="shared" si="10"/>
        <v>0</v>
      </c>
      <c r="P113" s="141">
        <f t="shared" si="11"/>
        <v>0</v>
      </c>
      <c r="Q113" s="141">
        <f t="shared" si="12"/>
        <v>0</v>
      </c>
      <c r="R113" s="141">
        <f t="shared" si="13"/>
        <v>-30</v>
      </c>
      <c r="S113" s="140">
        <v>20</v>
      </c>
      <c r="T113" s="142">
        <f t="shared" si="14"/>
        <v>0</v>
      </c>
      <c r="U113" s="142">
        <f t="shared" si="15"/>
        <v>-6534</v>
      </c>
      <c r="V113" s="140">
        <f t="shared" si="16"/>
        <v>120</v>
      </c>
      <c r="Y113" s="142"/>
    </row>
    <row r="114" spans="1:25" s="140" customFormat="1" ht="12">
      <c r="A114" s="134" t="s">
        <v>324</v>
      </c>
      <c r="B114" s="135">
        <v>42979</v>
      </c>
      <c r="C114" s="151" t="s">
        <v>325</v>
      </c>
      <c r="D114" s="152">
        <v>61.41</v>
      </c>
      <c r="E114" s="145"/>
      <c r="F114" s="148"/>
      <c r="K114" s="135">
        <f t="shared" si="18"/>
        <v>42983</v>
      </c>
      <c r="L114" s="135"/>
      <c r="M114" s="135">
        <f t="shared" si="9"/>
        <v>42983</v>
      </c>
      <c r="N114" s="135">
        <v>42983</v>
      </c>
      <c r="O114" s="141">
        <f t="shared" si="10"/>
        <v>0</v>
      </c>
      <c r="P114" s="141">
        <f t="shared" si="11"/>
        <v>0</v>
      </c>
      <c r="Q114" s="141">
        <f t="shared" si="12"/>
        <v>0</v>
      </c>
      <c r="R114" s="141">
        <f t="shared" si="13"/>
        <v>-30</v>
      </c>
      <c r="S114" s="140">
        <v>20</v>
      </c>
      <c r="T114" s="142">
        <f t="shared" si="14"/>
        <v>0</v>
      </c>
      <c r="U114" s="142">
        <f t="shared" si="15"/>
        <v>-1842.3</v>
      </c>
      <c r="V114" s="140">
        <f t="shared" si="16"/>
        <v>120</v>
      </c>
      <c r="Y114" s="142"/>
    </row>
    <row r="115" spans="1:25" s="138" customFormat="1" ht="12">
      <c r="A115" s="134" t="s">
        <v>326</v>
      </c>
      <c r="B115" s="135">
        <v>42979</v>
      </c>
      <c r="C115" s="151" t="s">
        <v>327</v>
      </c>
      <c r="D115" s="152">
        <v>28.6</v>
      </c>
      <c r="E115" s="145"/>
      <c r="F115" s="148"/>
      <c r="K115" s="135">
        <f t="shared" si="18"/>
        <v>42983</v>
      </c>
      <c r="L115" s="135"/>
      <c r="M115" s="135">
        <f aca="true" t="shared" si="19" ref="M115:M170">+N115</f>
        <v>42983</v>
      </c>
      <c r="N115" s="135">
        <v>42983</v>
      </c>
      <c r="O115" s="141">
        <f aca="true" t="shared" si="20" ref="O115:O170">+M115-K115</f>
        <v>0</v>
      </c>
      <c r="P115" s="141">
        <f aca="true" t="shared" si="21" ref="P115:P170">+N115-M115</f>
        <v>0</v>
      </c>
      <c r="Q115" s="141">
        <f aca="true" t="shared" si="22" ref="Q115:Q170">+N115-K115</f>
        <v>0</v>
      </c>
      <c r="R115" s="141">
        <f aca="true" t="shared" si="23" ref="R115:R170">+Q115-30</f>
        <v>-30</v>
      </c>
      <c r="S115" s="140">
        <v>20</v>
      </c>
      <c r="T115" s="142">
        <f aca="true" t="shared" si="24" ref="T115:T170">+P115*D115</f>
        <v>0</v>
      </c>
      <c r="U115" s="142">
        <f aca="true" t="shared" si="25" ref="U115:U170">+R115*D115</f>
        <v>-858</v>
      </c>
      <c r="V115" s="140">
        <f aca="true" t="shared" si="26" ref="V115:V170">IF(P115&gt;30,200+S115,100+S115)</f>
        <v>120</v>
      </c>
      <c r="Y115" s="142"/>
    </row>
    <row r="116" spans="1:25" s="138" customFormat="1" ht="12">
      <c r="A116" s="134" t="s">
        <v>328</v>
      </c>
      <c r="B116" s="135">
        <v>42935</v>
      </c>
      <c r="C116" s="151" t="s">
        <v>329</v>
      </c>
      <c r="D116" s="152">
        <v>58.4</v>
      </c>
      <c r="E116" s="145"/>
      <c r="F116" s="148"/>
      <c r="K116" s="135">
        <f t="shared" si="18"/>
        <v>42935</v>
      </c>
      <c r="L116" s="135"/>
      <c r="M116" s="135">
        <f t="shared" si="19"/>
        <v>42935</v>
      </c>
      <c r="N116" s="135">
        <v>42935</v>
      </c>
      <c r="O116" s="141">
        <f t="shared" si="20"/>
        <v>0</v>
      </c>
      <c r="P116" s="141">
        <f t="shared" si="21"/>
        <v>0</v>
      </c>
      <c r="Q116" s="141">
        <f t="shared" si="22"/>
        <v>0</v>
      </c>
      <c r="R116" s="141">
        <f t="shared" si="23"/>
        <v>-30</v>
      </c>
      <c r="S116" s="140">
        <v>29</v>
      </c>
      <c r="T116" s="142">
        <f t="shared" si="24"/>
        <v>0</v>
      </c>
      <c r="U116" s="142">
        <f t="shared" si="25"/>
        <v>-1752</v>
      </c>
      <c r="V116" s="140">
        <f t="shared" si="26"/>
        <v>129</v>
      </c>
      <c r="Y116" s="142"/>
    </row>
    <row r="117" spans="1:25" s="138" customFormat="1" ht="12">
      <c r="A117" s="134" t="s">
        <v>330</v>
      </c>
      <c r="B117" s="135">
        <v>42966</v>
      </c>
      <c r="C117" s="151" t="s">
        <v>331</v>
      </c>
      <c r="D117" s="152">
        <v>58.4</v>
      </c>
      <c r="E117" s="145"/>
      <c r="F117" s="148"/>
      <c r="K117" s="135">
        <f t="shared" si="18"/>
        <v>42968</v>
      </c>
      <c r="L117" s="135"/>
      <c r="M117" s="135">
        <f t="shared" si="19"/>
        <v>42968</v>
      </c>
      <c r="N117" s="135">
        <v>42968</v>
      </c>
      <c r="O117" s="141">
        <f t="shared" si="20"/>
        <v>0</v>
      </c>
      <c r="P117" s="141">
        <f t="shared" si="21"/>
        <v>0</v>
      </c>
      <c r="Q117" s="141">
        <f t="shared" si="22"/>
        <v>0</v>
      </c>
      <c r="R117" s="141">
        <f t="shared" si="23"/>
        <v>-30</v>
      </c>
      <c r="S117" s="140">
        <v>29</v>
      </c>
      <c r="T117" s="142">
        <f t="shared" si="24"/>
        <v>0</v>
      </c>
      <c r="U117" s="142">
        <f t="shared" si="25"/>
        <v>-1752</v>
      </c>
      <c r="V117" s="140">
        <f t="shared" si="26"/>
        <v>129</v>
      </c>
      <c r="Y117" s="142"/>
    </row>
    <row r="118" spans="1:25" s="138" customFormat="1" ht="12">
      <c r="A118" s="134" t="s">
        <v>332</v>
      </c>
      <c r="B118" s="135">
        <v>42997</v>
      </c>
      <c r="C118" s="151" t="s">
        <v>333</v>
      </c>
      <c r="D118" s="152">
        <v>58.4</v>
      </c>
      <c r="E118" s="145"/>
      <c r="F118" s="148"/>
      <c r="K118" s="135">
        <v>42996</v>
      </c>
      <c r="L118" s="135"/>
      <c r="M118" s="135">
        <f t="shared" si="19"/>
        <v>42997</v>
      </c>
      <c r="N118" s="135">
        <v>42997</v>
      </c>
      <c r="O118" s="141">
        <f t="shared" si="20"/>
        <v>1</v>
      </c>
      <c r="P118" s="141">
        <f t="shared" si="21"/>
        <v>0</v>
      </c>
      <c r="Q118" s="141">
        <f t="shared" si="22"/>
        <v>1</v>
      </c>
      <c r="R118" s="141">
        <f t="shared" si="23"/>
        <v>-29</v>
      </c>
      <c r="S118" s="140">
        <v>29</v>
      </c>
      <c r="T118" s="142">
        <f t="shared" si="24"/>
        <v>0</v>
      </c>
      <c r="U118" s="142">
        <f t="shared" si="25"/>
        <v>-1693.6</v>
      </c>
      <c r="V118" s="140">
        <f t="shared" si="26"/>
        <v>129</v>
      </c>
      <c r="Y118" s="142"/>
    </row>
    <row r="119" spans="1:25" s="138" customFormat="1" ht="12">
      <c r="A119" s="134" t="s">
        <v>334</v>
      </c>
      <c r="B119" s="135">
        <v>42917</v>
      </c>
      <c r="C119" s="151" t="s">
        <v>335</v>
      </c>
      <c r="D119" s="152">
        <v>152.68</v>
      </c>
      <c r="E119" s="145"/>
      <c r="F119" s="148"/>
      <c r="K119" s="135">
        <f>M119</f>
        <v>42919</v>
      </c>
      <c r="L119" s="135"/>
      <c r="M119" s="135">
        <f t="shared" si="19"/>
        <v>42919</v>
      </c>
      <c r="N119" s="135">
        <v>42919</v>
      </c>
      <c r="O119" s="141">
        <f t="shared" si="20"/>
        <v>0</v>
      </c>
      <c r="P119" s="141">
        <f t="shared" si="21"/>
        <v>0</v>
      </c>
      <c r="Q119" s="141">
        <f t="shared" si="22"/>
        <v>0</v>
      </c>
      <c r="R119" s="141">
        <f t="shared" si="23"/>
        <v>-30</v>
      </c>
      <c r="S119" s="140">
        <v>29</v>
      </c>
      <c r="T119" s="142">
        <f t="shared" si="24"/>
        <v>0</v>
      </c>
      <c r="U119" s="142">
        <f t="shared" si="25"/>
        <v>-4580.400000000001</v>
      </c>
      <c r="V119" s="140">
        <f t="shared" si="26"/>
        <v>129</v>
      </c>
      <c r="Y119" s="142"/>
    </row>
    <row r="120" spans="1:25" s="138" customFormat="1" ht="12">
      <c r="A120" s="134" t="s">
        <v>336</v>
      </c>
      <c r="B120" s="135">
        <v>42948</v>
      </c>
      <c r="C120" s="151" t="s">
        <v>337</v>
      </c>
      <c r="D120" s="152">
        <v>129.47</v>
      </c>
      <c r="E120" s="145"/>
      <c r="F120" s="148"/>
      <c r="K120" s="135">
        <f>M120</f>
        <v>42948</v>
      </c>
      <c r="L120" s="135"/>
      <c r="M120" s="135">
        <f t="shared" si="19"/>
        <v>42948</v>
      </c>
      <c r="N120" s="135">
        <v>42948</v>
      </c>
      <c r="O120" s="141">
        <f t="shared" si="20"/>
        <v>0</v>
      </c>
      <c r="P120" s="141">
        <f t="shared" si="21"/>
        <v>0</v>
      </c>
      <c r="Q120" s="141">
        <f t="shared" si="22"/>
        <v>0</v>
      </c>
      <c r="R120" s="141">
        <f t="shared" si="23"/>
        <v>-30</v>
      </c>
      <c r="S120" s="140">
        <v>29</v>
      </c>
      <c r="T120" s="142">
        <f t="shared" si="24"/>
        <v>0</v>
      </c>
      <c r="U120" s="142">
        <f t="shared" si="25"/>
        <v>-3884.1</v>
      </c>
      <c r="V120" s="140">
        <f t="shared" si="26"/>
        <v>129</v>
      </c>
      <c r="Y120" s="142"/>
    </row>
    <row r="121" spans="1:25" s="138" customFormat="1" ht="12">
      <c r="A121" s="134" t="s">
        <v>338</v>
      </c>
      <c r="B121" s="135">
        <v>42979</v>
      </c>
      <c r="C121" s="151" t="s">
        <v>339</v>
      </c>
      <c r="D121" s="152">
        <v>135.28</v>
      </c>
      <c r="E121" s="145"/>
      <c r="F121" s="148"/>
      <c r="K121" s="135">
        <f>M121</f>
        <v>42979</v>
      </c>
      <c r="L121" s="135"/>
      <c r="M121" s="135">
        <f t="shared" si="19"/>
        <v>42979</v>
      </c>
      <c r="N121" s="135">
        <v>42979</v>
      </c>
      <c r="O121" s="141">
        <f t="shared" si="20"/>
        <v>0</v>
      </c>
      <c r="P121" s="141">
        <f t="shared" si="21"/>
        <v>0</v>
      </c>
      <c r="Q121" s="141">
        <f t="shared" si="22"/>
        <v>0</v>
      </c>
      <c r="R121" s="141">
        <f t="shared" si="23"/>
        <v>-30</v>
      </c>
      <c r="S121" s="140">
        <v>29</v>
      </c>
      <c r="T121" s="142">
        <f t="shared" si="24"/>
        <v>0</v>
      </c>
      <c r="U121" s="142">
        <f t="shared" si="25"/>
        <v>-4058.4</v>
      </c>
      <c r="V121" s="140">
        <f t="shared" si="26"/>
        <v>129</v>
      </c>
      <c r="Y121" s="142"/>
    </row>
    <row r="122" spans="1:25" s="140" customFormat="1" ht="12">
      <c r="A122" s="134" t="s">
        <v>340</v>
      </c>
      <c r="B122" s="135">
        <v>42976</v>
      </c>
      <c r="C122" s="151" t="s">
        <v>341</v>
      </c>
      <c r="D122" s="152">
        <v>70</v>
      </c>
      <c r="E122" s="145"/>
      <c r="F122" s="148"/>
      <c r="K122" s="135">
        <f>M122</f>
        <v>42914</v>
      </c>
      <c r="L122" s="135"/>
      <c r="M122" s="135">
        <f t="shared" si="19"/>
        <v>42914</v>
      </c>
      <c r="N122" s="135">
        <v>42914</v>
      </c>
      <c r="O122" s="141">
        <f t="shared" si="20"/>
        <v>0</v>
      </c>
      <c r="P122" s="141">
        <f t="shared" si="21"/>
        <v>0</v>
      </c>
      <c r="Q122" s="141">
        <f t="shared" si="22"/>
        <v>0</v>
      </c>
      <c r="R122" s="141">
        <f t="shared" si="23"/>
        <v>-30</v>
      </c>
      <c r="S122" s="140">
        <v>29</v>
      </c>
      <c r="T122" s="142">
        <f t="shared" si="24"/>
        <v>0</v>
      </c>
      <c r="U122" s="142">
        <f t="shared" si="25"/>
        <v>-2100</v>
      </c>
      <c r="V122" s="140">
        <f t="shared" si="26"/>
        <v>129</v>
      </c>
      <c r="Y122" s="142"/>
    </row>
    <row r="123" spans="1:25" s="140" customFormat="1" ht="12">
      <c r="A123" s="134" t="s">
        <v>342</v>
      </c>
      <c r="B123" s="135">
        <v>42978</v>
      </c>
      <c r="C123" s="151" t="s">
        <v>343</v>
      </c>
      <c r="D123" s="152">
        <v>1108.17</v>
      </c>
      <c r="E123" s="145"/>
      <c r="F123" s="148"/>
      <c r="K123" s="135">
        <f>M123</f>
        <v>42978</v>
      </c>
      <c r="L123" s="135"/>
      <c r="M123" s="135">
        <f t="shared" si="19"/>
        <v>42978</v>
      </c>
      <c r="N123" s="135">
        <v>42978</v>
      </c>
      <c r="O123" s="141">
        <f t="shared" si="20"/>
        <v>0</v>
      </c>
      <c r="P123" s="141">
        <f t="shared" si="21"/>
        <v>0</v>
      </c>
      <c r="Q123" s="141">
        <f t="shared" si="22"/>
        <v>0</v>
      </c>
      <c r="R123" s="141">
        <f t="shared" si="23"/>
        <v>-30</v>
      </c>
      <c r="S123" s="140">
        <v>29</v>
      </c>
      <c r="T123" s="142">
        <f t="shared" si="24"/>
        <v>0</v>
      </c>
      <c r="U123" s="142">
        <f t="shared" si="25"/>
        <v>-33245.100000000006</v>
      </c>
      <c r="V123" s="140">
        <f t="shared" si="26"/>
        <v>129</v>
      </c>
      <c r="Y123" s="142"/>
    </row>
    <row r="124" spans="1:25" s="138" customFormat="1" ht="12">
      <c r="A124" s="134" t="s">
        <v>344</v>
      </c>
      <c r="B124" s="135">
        <v>42968</v>
      </c>
      <c r="C124" s="151" t="s">
        <v>345</v>
      </c>
      <c r="D124" s="152">
        <v>167.23</v>
      </c>
      <c r="E124" s="145"/>
      <c r="F124" s="148"/>
      <c r="K124" s="135">
        <v>42996</v>
      </c>
      <c r="L124" s="135"/>
      <c r="M124" s="135">
        <f t="shared" si="19"/>
        <v>42998</v>
      </c>
      <c r="N124" s="135">
        <v>42998</v>
      </c>
      <c r="O124" s="141">
        <f t="shared" si="20"/>
        <v>2</v>
      </c>
      <c r="P124" s="141">
        <f t="shared" si="21"/>
        <v>0</v>
      </c>
      <c r="Q124" s="141">
        <f t="shared" si="22"/>
        <v>2</v>
      </c>
      <c r="R124" s="141">
        <f t="shared" si="23"/>
        <v>-28</v>
      </c>
      <c r="S124" s="140">
        <v>21</v>
      </c>
      <c r="T124" s="142">
        <f t="shared" si="24"/>
        <v>0</v>
      </c>
      <c r="U124" s="142">
        <f t="shared" si="25"/>
        <v>-4682.44</v>
      </c>
      <c r="V124" s="140">
        <f t="shared" si="26"/>
        <v>121</v>
      </c>
      <c r="Y124" s="142"/>
    </row>
    <row r="125" spans="1:25" s="138" customFormat="1" ht="12">
      <c r="A125" s="134" t="s">
        <v>346</v>
      </c>
      <c r="B125" s="135">
        <v>42972</v>
      </c>
      <c r="C125" s="151" t="s">
        <v>347</v>
      </c>
      <c r="D125" s="152">
        <v>50.75</v>
      </c>
      <c r="E125" s="145"/>
      <c r="F125" s="148"/>
      <c r="K125" s="135">
        <f>M125</f>
        <v>42982</v>
      </c>
      <c r="L125" s="135"/>
      <c r="M125" s="135">
        <f t="shared" si="19"/>
        <v>42982</v>
      </c>
      <c r="N125" s="135">
        <v>42982</v>
      </c>
      <c r="O125" s="141">
        <f t="shared" si="20"/>
        <v>0</v>
      </c>
      <c r="P125" s="141">
        <f t="shared" si="21"/>
        <v>0</v>
      </c>
      <c r="Q125" s="141">
        <f t="shared" si="22"/>
        <v>0</v>
      </c>
      <c r="R125" s="141">
        <f t="shared" si="23"/>
        <v>-30</v>
      </c>
      <c r="S125" s="140">
        <v>22</v>
      </c>
      <c r="T125" s="142">
        <f t="shared" si="24"/>
        <v>0</v>
      </c>
      <c r="U125" s="142">
        <f t="shared" si="25"/>
        <v>-1522.5</v>
      </c>
      <c r="V125" s="140">
        <f t="shared" si="26"/>
        <v>122</v>
      </c>
      <c r="Y125" s="142"/>
    </row>
    <row r="126" spans="1:25" s="138" customFormat="1" ht="12">
      <c r="A126" s="134" t="s">
        <v>348</v>
      </c>
      <c r="B126" s="135">
        <v>42979</v>
      </c>
      <c r="C126" s="151" t="s">
        <v>349</v>
      </c>
      <c r="D126" s="152">
        <v>167.33</v>
      </c>
      <c r="E126" s="145"/>
      <c r="F126" s="148"/>
      <c r="K126" s="135">
        <f>M126</f>
        <v>42989</v>
      </c>
      <c r="L126" s="135"/>
      <c r="M126" s="135">
        <f t="shared" si="19"/>
        <v>42989</v>
      </c>
      <c r="N126" s="135">
        <v>42989</v>
      </c>
      <c r="O126" s="141">
        <f t="shared" si="20"/>
        <v>0</v>
      </c>
      <c r="P126" s="141">
        <f t="shared" si="21"/>
        <v>0</v>
      </c>
      <c r="Q126" s="141">
        <f t="shared" si="22"/>
        <v>0</v>
      </c>
      <c r="R126" s="141">
        <f t="shared" si="23"/>
        <v>-30</v>
      </c>
      <c r="S126" s="140">
        <v>22</v>
      </c>
      <c r="T126" s="142">
        <f t="shared" si="24"/>
        <v>0</v>
      </c>
      <c r="U126" s="142">
        <f t="shared" si="25"/>
        <v>-5019.900000000001</v>
      </c>
      <c r="V126" s="140">
        <f t="shared" si="26"/>
        <v>122</v>
      </c>
      <c r="Y126" s="142"/>
    </row>
    <row r="127" spans="1:25" s="138" customFormat="1" ht="12">
      <c r="A127" s="134" t="s">
        <v>350</v>
      </c>
      <c r="B127" s="135">
        <v>42996</v>
      </c>
      <c r="C127" s="151" t="s">
        <v>351</v>
      </c>
      <c r="D127" s="152">
        <v>721.59</v>
      </c>
      <c r="E127" s="145"/>
      <c r="F127" s="148"/>
      <c r="K127" s="135">
        <v>42999</v>
      </c>
      <c r="L127" s="135"/>
      <c r="M127" s="135">
        <f t="shared" si="19"/>
        <v>43007</v>
      </c>
      <c r="N127" s="135">
        <v>43007</v>
      </c>
      <c r="O127" s="141">
        <f t="shared" si="20"/>
        <v>8</v>
      </c>
      <c r="P127" s="141">
        <f t="shared" si="21"/>
        <v>0</v>
      </c>
      <c r="Q127" s="141">
        <f t="shared" si="22"/>
        <v>8</v>
      </c>
      <c r="R127" s="141">
        <f t="shared" si="23"/>
        <v>-22</v>
      </c>
      <c r="S127" s="140">
        <v>22</v>
      </c>
      <c r="T127" s="142">
        <f t="shared" si="24"/>
        <v>0</v>
      </c>
      <c r="U127" s="142">
        <f t="shared" si="25"/>
        <v>-15874.980000000001</v>
      </c>
      <c r="V127" s="140">
        <f t="shared" si="26"/>
        <v>122</v>
      </c>
      <c r="Y127" s="142"/>
    </row>
    <row r="128" spans="1:25" s="138" customFormat="1" ht="12">
      <c r="A128" s="134" t="s">
        <v>352</v>
      </c>
      <c r="B128" s="135">
        <v>42986</v>
      </c>
      <c r="C128" s="151" t="s">
        <v>353</v>
      </c>
      <c r="D128" s="152">
        <v>240.06</v>
      </c>
      <c r="E128" s="145"/>
      <c r="F128" s="148"/>
      <c r="K128" s="135">
        <f aca="true" t="shared" si="27" ref="K128:K138">M128</f>
        <v>42989</v>
      </c>
      <c r="L128" s="135"/>
      <c r="M128" s="135">
        <f t="shared" si="19"/>
        <v>42989</v>
      </c>
      <c r="N128" s="135">
        <v>42989</v>
      </c>
      <c r="O128" s="141">
        <f t="shared" si="20"/>
        <v>0</v>
      </c>
      <c r="P128" s="141">
        <f t="shared" si="21"/>
        <v>0</v>
      </c>
      <c r="Q128" s="141">
        <f t="shared" si="22"/>
        <v>0</v>
      </c>
      <c r="R128" s="141">
        <f t="shared" si="23"/>
        <v>-30</v>
      </c>
      <c r="S128" s="140">
        <v>21</v>
      </c>
      <c r="T128" s="142">
        <f t="shared" si="24"/>
        <v>0</v>
      </c>
      <c r="U128" s="142">
        <f t="shared" si="25"/>
        <v>-7201.8</v>
      </c>
      <c r="V128" s="140">
        <f t="shared" si="26"/>
        <v>121</v>
      </c>
      <c r="Y128" s="142"/>
    </row>
    <row r="129" spans="1:25" s="138" customFormat="1" ht="12">
      <c r="A129" s="134" t="s">
        <v>354</v>
      </c>
      <c r="B129" s="135">
        <v>42977</v>
      </c>
      <c r="C129" s="151" t="s">
        <v>355</v>
      </c>
      <c r="D129" s="152">
        <v>33.98</v>
      </c>
      <c r="E129" s="145"/>
      <c r="F129" s="148"/>
      <c r="K129" s="135">
        <f t="shared" si="27"/>
        <v>42996</v>
      </c>
      <c r="L129" s="135"/>
      <c r="M129" s="135">
        <f t="shared" si="19"/>
        <v>42996</v>
      </c>
      <c r="N129" s="135">
        <v>42996</v>
      </c>
      <c r="O129" s="141">
        <f t="shared" si="20"/>
        <v>0</v>
      </c>
      <c r="P129" s="141">
        <f t="shared" si="21"/>
        <v>0</v>
      </c>
      <c r="Q129" s="141">
        <f t="shared" si="22"/>
        <v>0</v>
      </c>
      <c r="R129" s="141">
        <f t="shared" si="23"/>
        <v>-30</v>
      </c>
      <c r="S129" s="140">
        <v>29</v>
      </c>
      <c r="T129" s="142">
        <f t="shared" si="24"/>
        <v>0</v>
      </c>
      <c r="U129" s="142">
        <f t="shared" si="25"/>
        <v>-1019.3999999999999</v>
      </c>
      <c r="V129" s="140">
        <f t="shared" si="26"/>
        <v>129</v>
      </c>
      <c r="Y129" s="142"/>
    </row>
    <row r="130" spans="1:25" s="138" customFormat="1" ht="12">
      <c r="A130" s="134" t="s">
        <v>356</v>
      </c>
      <c r="B130" s="135">
        <v>42977</v>
      </c>
      <c r="C130" s="151" t="s">
        <v>357</v>
      </c>
      <c r="D130" s="152">
        <v>36.83</v>
      </c>
      <c r="E130" s="145"/>
      <c r="F130" s="148"/>
      <c r="K130" s="135">
        <f t="shared" si="27"/>
        <v>42996</v>
      </c>
      <c r="L130" s="135"/>
      <c r="M130" s="135">
        <f t="shared" si="19"/>
        <v>42996</v>
      </c>
      <c r="N130" s="135">
        <v>42996</v>
      </c>
      <c r="O130" s="141">
        <f t="shared" si="20"/>
        <v>0</v>
      </c>
      <c r="P130" s="141">
        <f t="shared" si="21"/>
        <v>0</v>
      </c>
      <c r="Q130" s="141">
        <f t="shared" si="22"/>
        <v>0</v>
      </c>
      <c r="R130" s="141">
        <f t="shared" si="23"/>
        <v>-30</v>
      </c>
      <c r="S130" s="140">
        <v>29</v>
      </c>
      <c r="T130" s="142">
        <f t="shared" si="24"/>
        <v>0</v>
      </c>
      <c r="U130" s="142">
        <f t="shared" si="25"/>
        <v>-1104.8999999999999</v>
      </c>
      <c r="V130" s="140">
        <f t="shared" si="26"/>
        <v>129</v>
      </c>
      <c r="Y130" s="142"/>
    </row>
    <row r="131" spans="1:25" s="140" customFormat="1" ht="12">
      <c r="A131" s="134" t="s">
        <v>358</v>
      </c>
      <c r="B131" s="135">
        <v>42977</v>
      </c>
      <c r="C131" s="151" t="s">
        <v>359</v>
      </c>
      <c r="D131" s="152">
        <v>38.5</v>
      </c>
      <c r="K131" s="135">
        <f t="shared" si="27"/>
        <v>42996</v>
      </c>
      <c r="L131" s="135"/>
      <c r="M131" s="135">
        <f t="shared" si="19"/>
        <v>42996</v>
      </c>
      <c r="N131" s="135">
        <v>42996</v>
      </c>
      <c r="O131" s="141">
        <f t="shared" si="20"/>
        <v>0</v>
      </c>
      <c r="P131" s="141">
        <f t="shared" si="21"/>
        <v>0</v>
      </c>
      <c r="Q131" s="141">
        <f t="shared" si="22"/>
        <v>0</v>
      </c>
      <c r="R131" s="141">
        <f t="shared" si="23"/>
        <v>-30</v>
      </c>
      <c r="S131" s="140">
        <v>29</v>
      </c>
      <c r="T131" s="142">
        <f t="shared" si="24"/>
        <v>0</v>
      </c>
      <c r="U131" s="142">
        <f t="shared" si="25"/>
        <v>-1155</v>
      </c>
      <c r="V131" s="140">
        <f t="shared" si="26"/>
        <v>129</v>
      </c>
      <c r="Y131" s="142"/>
    </row>
    <row r="132" spans="1:25" s="140" customFormat="1" ht="12">
      <c r="A132" s="134" t="s">
        <v>360</v>
      </c>
      <c r="B132" s="135">
        <v>42977</v>
      </c>
      <c r="C132" s="151" t="s">
        <v>361</v>
      </c>
      <c r="D132" s="152">
        <v>17.92</v>
      </c>
      <c r="K132" s="135">
        <f t="shared" si="27"/>
        <v>42996</v>
      </c>
      <c r="L132" s="135"/>
      <c r="M132" s="135">
        <f t="shared" si="19"/>
        <v>42996</v>
      </c>
      <c r="N132" s="135">
        <v>42996</v>
      </c>
      <c r="O132" s="141">
        <f t="shared" si="20"/>
        <v>0</v>
      </c>
      <c r="P132" s="141">
        <f t="shared" si="21"/>
        <v>0</v>
      </c>
      <c r="Q132" s="141">
        <f t="shared" si="22"/>
        <v>0</v>
      </c>
      <c r="R132" s="141">
        <f t="shared" si="23"/>
        <v>-30</v>
      </c>
      <c r="S132" s="140">
        <v>29</v>
      </c>
      <c r="T132" s="142">
        <f t="shared" si="24"/>
        <v>0</v>
      </c>
      <c r="U132" s="142">
        <f t="shared" si="25"/>
        <v>-537.6</v>
      </c>
      <c r="V132" s="140">
        <f t="shared" si="26"/>
        <v>129</v>
      </c>
      <c r="Y132" s="142"/>
    </row>
    <row r="133" spans="1:25" s="138" customFormat="1" ht="12">
      <c r="A133" s="134" t="s">
        <v>362</v>
      </c>
      <c r="B133" s="135">
        <v>42977</v>
      </c>
      <c r="C133" s="151" t="s">
        <v>363</v>
      </c>
      <c r="D133" s="152">
        <v>17.34</v>
      </c>
      <c r="K133" s="135">
        <f t="shared" si="27"/>
        <v>42996</v>
      </c>
      <c r="L133" s="135"/>
      <c r="M133" s="135">
        <f t="shared" si="19"/>
        <v>42996</v>
      </c>
      <c r="N133" s="135">
        <v>42996</v>
      </c>
      <c r="O133" s="141">
        <f t="shared" si="20"/>
        <v>0</v>
      </c>
      <c r="P133" s="141">
        <f t="shared" si="21"/>
        <v>0</v>
      </c>
      <c r="Q133" s="141">
        <f t="shared" si="22"/>
        <v>0</v>
      </c>
      <c r="R133" s="141">
        <f t="shared" si="23"/>
        <v>-30</v>
      </c>
      <c r="S133" s="140">
        <v>29</v>
      </c>
      <c r="T133" s="142">
        <f t="shared" si="24"/>
        <v>0</v>
      </c>
      <c r="U133" s="142">
        <f t="shared" si="25"/>
        <v>-520.2</v>
      </c>
      <c r="V133" s="140">
        <f t="shared" si="26"/>
        <v>129</v>
      </c>
      <c r="Y133" s="142"/>
    </row>
    <row r="134" spans="1:25" s="138" customFormat="1" ht="12">
      <c r="A134" s="134" t="s">
        <v>364</v>
      </c>
      <c r="B134" s="135">
        <v>42977</v>
      </c>
      <c r="C134" s="151" t="s">
        <v>365</v>
      </c>
      <c r="D134" s="152">
        <v>8.01</v>
      </c>
      <c r="K134" s="135">
        <f t="shared" si="27"/>
        <v>42996</v>
      </c>
      <c r="L134" s="135"/>
      <c r="M134" s="135">
        <f t="shared" si="19"/>
        <v>42996</v>
      </c>
      <c r="N134" s="135">
        <v>42996</v>
      </c>
      <c r="O134" s="141">
        <f t="shared" si="20"/>
        <v>0</v>
      </c>
      <c r="P134" s="141">
        <f t="shared" si="21"/>
        <v>0</v>
      </c>
      <c r="Q134" s="141">
        <f t="shared" si="22"/>
        <v>0</v>
      </c>
      <c r="R134" s="141">
        <f t="shared" si="23"/>
        <v>-30</v>
      </c>
      <c r="S134" s="140">
        <v>29</v>
      </c>
      <c r="T134" s="142">
        <f t="shared" si="24"/>
        <v>0</v>
      </c>
      <c r="U134" s="142">
        <f t="shared" si="25"/>
        <v>-240.29999999999998</v>
      </c>
      <c r="V134" s="140">
        <f t="shared" si="26"/>
        <v>129</v>
      </c>
      <c r="Y134" s="142"/>
    </row>
    <row r="135" spans="1:25" s="138" customFormat="1" ht="12">
      <c r="A135" s="134" t="s">
        <v>366</v>
      </c>
      <c r="B135" s="135">
        <v>42977</v>
      </c>
      <c r="C135" s="151" t="s">
        <v>367</v>
      </c>
      <c r="D135" s="152">
        <v>12.39</v>
      </c>
      <c r="K135" s="135">
        <f t="shared" si="27"/>
        <v>42996</v>
      </c>
      <c r="L135" s="135"/>
      <c r="M135" s="135">
        <f t="shared" si="19"/>
        <v>42996</v>
      </c>
      <c r="N135" s="135">
        <v>42996</v>
      </c>
      <c r="O135" s="141">
        <f t="shared" si="20"/>
        <v>0</v>
      </c>
      <c r="P135" s="141">
        <f t="shared" si="21"/>
        <v>0</v>
      </c>
      <c r="Q135" s="141">
        <f t="shared" si="22"/>
        <v>0</v>
      </c>
      <c r="R135" s="141">
        <f t="shared" si="23"/>
        <v>-30</v>
      </c>
      <c r="S135" s="140">
        <v>29</v>
      </c>
      <c r="T135" s="142">
        <f t="shared" si="24"/>
        <v>0</v>
      </c>
      <c r="U135" s="142">
        <f t="shared" si="25"/>
        <v>-371.70000000000005</v>
      </c>
      <c r="V135" s="140">
        <f t="shared" si="26"/>
        <v>129</v>
      </c>
      <c r="Y135" s="142"/>
    </row>
    <row r="136" spans="1:25" s="138" customFormat="1" ht="12">
      <c r="A136" s="134" t="s">
        <v>368</v>
      </c>
      <c r="B136" s="135">
        <v>42977</v>
      </c>
      <c r="C136" s="151" t="s">
        <v>369</v>
      </c>
      <c r="D136" s="152">
        <v>456.61</v>
      </c>
      <c r="K136" s="135">
        <f t="shared" si="27"/>
        <v>42996</v>
      </c>
      <c r="L136" s="135"/>
      <c r="M136" s="135">
        <f t="shared" si="19"/>
        <v>42996</v>
      </c>
      <c r="N136" s="135">
        <v>42996</v>
      </c>
      <c r="O136" s="141">
        <f t="shared" si="20"/>
        <v>0</v>
      </c>
      <c r="P136" s="141">
        <f t="shared" si="21"/>
        <v>0</v>
      </c>
      <c r="Q136" s="141">
        <f t="shared" si="22"/>
        <v>0</v>
      </c>
      <c r="R136" s="141">
        <f t="shared" si="23"/>
        <v>-30</v>
      </c>
      <c r="S136" s="140">
        <v>29</v>
      </c>
      <c r="T136" s="142">
        <f t="shared" si="24"/>
        <v>0</v>
      </c>
      <c r="U136" s="142">
        <f t="shared" si="25"/>
        <v>-13698.300000000001</v>
      </c>
      <c r="V136" s="140">
        <f t="shared" si="26"/>
        <v>129</v>
      </c>
      <c r="Y136" s="142"/>
    </row>
    <row r="137" spans="1:25" s="138" customFormat="1" ht="12">
      <c r="A137" s="134" t="s">
        <v>370</v>
      </c>
      <c r="B137" s="135">
        <v>42982</v>
      </c>
      <c r="C137" s="151" t="s">
        <v>371</v>
      </c>
      <c r="D137" s="152">
        <v>70</v>
      </c>
      <c r="K137" s="135">
        <f t="shared" si="27"/>
        <v>42914</v>
      </c>
      <c r="L137" s="135"/>
      <c r="M137" s="135">
        <f t="shared" si="19"/>
        <v>42914</v>
      </c>
      <c r="N137" s="135">
        <v>42914</v>
      </c>
      <c r="O137" s="141">
        <f t="shared" si="20"/>
        <v>0</v>
      </c>
      <c r="P137" s="141">
        <f t="shared" si="21"/>
        <v>0</v>
      </c>
      <c r="Q137" s="141">
        <f t="shared" si="22"/>
        <v>0</v>
      </c>
      <c r="R137" s="141">
        <f t="shared" si="23"/>
        <v>-30</v>
      </c>
      <c r="S137" s="140">
        <v>29</v>
      </c>
      <c r="T137" s="142">
        <f t="shared" si="24"/>
        <v>0</v>
      </c>
      <c r="U137" s="142">
        <f t="shared" si="25"/>
        <v>-2100</v>
      </c>
      <c r="V137" s="140">
        <f t="shared" si="26"/>
        <v>129</v>
      </c>
      <c r="Y137" s="142"/>
    </row>
    <row r="138" spans="1:25" s="138" customFormat="1" ht="12">
      <c r="A138" s="134" t="s">
        <v>372</v>
      </c>
      <c r="B138" s="135">
        <v>43008</v>
      </c>
      <c r="C138" s="151" t="s">
        <v>373</v>
      </c>
      <c r="D138" s="152">
        <v>408.89</v>
      </c>
      <c r="K138" s="135">
        <f t="shared" si="27"/>
        <v>42985</v>
      </c>
      <c r="L138" s="135"/>
      <c r="M138" s="135">
        <f t="shared" si="19"/>
        <v>42985</v>
      </c>
      <c r="N138" s="135">
        <v>42985</v>
      </c>
      <c r="O138" s="141">
        <f t="shared" si="20"/>
        <v>0</v>
      </c>
      <c r="P138" s="141">
        <f t="shared" si="21"/>
        <v>0</v>
      </c>
      <c r="Q138" s="141">
        <f t="shared" si="22"/>
        <v>0</v>
      </c>
      <c r="R138" s="141">
        <f t="shared" si="23"/>
        <v>-30</v>
      </c>
      <c r="S138" s="140">
        <v>29</v>
      </c>
      <c r="T138" s="142">
        <f t="shared" si="24"/>
        <v>0</v>
      </c>
      <c r="U138" s="142">
        <f t="shared" si="25"/>
        <v>-12266.699999999999</v>
      </c>
      <c r="V138" s="140">
        <f t="shared" si="26"/>
        <v>129</v>
      </c>
      <c r="Y138" s="142"/>
    </row>
    <row r="139" spans="1:25" s="138" customFormat="1" ht="12">
      <c r="A139" s="134" t="s">
        <v>374</v>
      </c>
      <c r="B139" s="135">
        <v>42991</v>
      </c>
      <c r="C139" s="151" t="s">
        <v>375</v>
      </c>
      <c r="D139" s="152">
        <v>844.18</v>
      </c>
      <c r="K139" s="135">
        <v>42999</v>
      </c>
      <c r="L139" s="135"/>
      <c r="M139" s="135">
        <f t="shared" si="19"/>
        <v>43007</v>
      </c>
      <c r="N139" s="135">
        <v>43007</v>
      </c>
      <c r="O139" s="141">
        <f t="shared" si="20"/>
        <v>8</v>
      </c>
      <c r="P139" s="141">
        <f t="shared" si="21"/>
        <v>0</v>
      </c>
      <c r="Q139" s="141">
        <f t="shared" si="22"/>
        <v>8</v>
      </c>
      <c r="R139" s="141">
        <f t="shared" si="23"/>
        <v>-22</v>
      </c>
      <c r="S139" s="140">
        <v>29</v>
      </c>
      <c r="T139" s="142">
        <f t="shared" si="24"/>
        <v>0</v>
      </c>
      <c r="U139" s="142">
        <f t="shared" si="25"/>
        <v>-18571.96</v>
      </c>
      <c r="V139" s="140">
        <f t="shared" si="26"/>
        <v>129</v>
      </c>
      <c r="Y139" s="142"/>
    </row>
    <row r="140" spans="1:25" s="138" customFormat="1" ht="12">
      <c r="A140" s="134" t="s">
        <v>376</v>
      </c>
      <c r="B140" s="135">
        <v>42991</v>
      </c>
      <c r="C140" s="151" t="s">
        <v>377</v>
      </c>
      <c r="D140" s="152">
        <v>153.91</v>
      </c>
      <c r="K140" s="135">
        <v>42999</v>
      </c>
      <c r="L140" s="135"/>
      <c r="M140" s="135">
        <f t="shared" si="19"/>
        <v>43007</v>
      </c>
      <c r="N140" s="135">
        <v>43007</v>
      </c>
      <c r="O140" s="141">
        <f t="shared" si="20"/>
        <v>8</v>
      </c>
      <c r="P140" s="141">
        <f t="shared" si="21"/>
        <v>0</v>
      </c>
      <c r="Q140" s="141">
        <f t="shared" si="22"/>
        <v>8</v>
      </c>
      <c r="R140" s="141">
        <f t="shared" si="23"/>
        <v>-22</v>
      </c>
      <c r="S140" s="140">
        <v>29</v>
      </c>
      <c r="T140" s="142">
        <f t="shared" si="24"/>
        <v>0</v>
      </c>
      <c r="U140" s="142">
        <f t="shared" si="25"/>
        <v>-3386.02</v>
      </c>
      <c r="V140" s="140">
        <f t="shared" si="26"/>
        <v>129</v>
      </c>
      <c r="Y140" s="142"/>
    </row>
    <row r="141" spans="1:25" s="138" customFormat="1" ht="12">
      <c r="A141" s="134" t="s">
        <v>378</v>
      </c>
      <c r="B141" s="135">
        <v>42991</v>
      </c>
      <c r="C141" s="151" t="s">
        <v>379</v>
      </c>
      <c r="D141" s="152">
        <v>493.68</v>
      </c>
      <c r="K141" s="135">
        <v>42999</v>
      </c>
      <c r="L141" s="135"/>
      <c r="M141" s="135">
        <f t="shared" si="19"/>
        <v>43007</v>
      </c>
      <c r="N141" s="135">
        <v>43007</v>
      </c>
      <c r="O141" s="141">
        <f t="shared" si="20"/>
        <v>8</v>
      </c>
      <c r="P141" s="141">
        <f t="shared" si="21"/>
        <v>0</v>
      </c>
      <c r="Q141" s="141">
        <f t="shared" si="22"/>
        <v>8</v>
      </c>
      <c r="R141" s="141">
        <f t="shared" si="23"/>
        <v>-22</v>
      </c>
      <c r="S141" s="140">
        <v>29</v>
      </c>
      <c r="T141" s="142">
        <f t="shared" si="24"/>
        <v>0</v>
      </c>
      <c r="U141" s="142">
        <f t="shared" si="25"/>
        <v>-10860.960000000001</v>
      </c>
      <c r="V141" s="140">
        <f t="shared" si="26"/>
        <v>129</v>
      </c>
      <c r="Y141" s="142"/>
    </row>
    <row r="142" spans="1:25" s="138" customFormat="1" ht="12">
      <c r="A142" s="134" t="s">
        <v>380</v>
      </c>
      <c r="B142" s="135">
        <v>42991</v>
      </c>
      <c r="C142" s="151" t="s">
        <v>381</v>
      </c>
      <c r="D142" s="152">
        <v>544.51</v>
      </c>
      <c r="K142" s="135">
        <v>42999</v>
      </c>
      <c r="L142" s="135"/>
      <c r="M142" s="135">
        <f t="shared" si="19"/>
        <v>43007</v>
      </c>
      <c r="N142" s="135">
        <v>43007</v>
      </c>
      <c r="O142" s="141">
        <f t="shared" si="20"/>
        <v>8</v>
      </c>
      <c r="P142" s="141">
        <f t="shared" si="21"/>
        <v>0</v>
      </c>
      <c r="Q142" s="141">
        <f t="shared" si="22"/>
        <v>8</v>
      </c>
      <c r="R142" s="141">
        <f t="shared" si="23"/>
        <v>-22</v>
      </c>
      <c r="S142" s="140">
        <v>29</v>
      </c>
      <c r="T142" s="142">
        <f t="shared" si="24"/>
        <v>0</v>
      </c>
      <c r="U142" s="142">
        <f t="shared" si="25"/>
        <v>-11979.22</v>
      </c>
      <c r="V142" s="140">
        <f t="shared" si="26"/>
        <v>129</v>
      </c>
      <c r="Y142" s="142"/>
    </row>
    <row r="143" spans="1:25" s="138" customFormat="1" ht="12">
      <c r="A143" s="134" t="s">
        <v>382</v>
      </c>
      <c r="B143" s="135">
        <v>42947</v>
      </c>
      <c r="C143" s="151" t="s">
        <v>383</v>
      </c>
      <c r="D143" s="152">
        <v>73.81</v>
      </c>
      <c r="K143" s="135">
        <v>42999</v>
      </c>
      <c r="L143" s="135"/>
      <c r="M143" s="135">
        <f t="shared" si="19"/>
        <v>43007</v>
      </c>
      <c r="N143" s="135">
        <v>43007</v>
      </c>
      <c r="O143" s="141">
        <f t="shared" si="20"/>
        <v>8</v>
      </c>
      <c r="P143" s="141">
        <f t="shared" si="21"/>
        <v>0</v>
      </c>
      <c r="Q143" s="141">
        <f t="shared" si="22"/>
        <v>8</v>
      </c>
      <c r="R143" s="141">
        <f t="shared" si="23"/>
        <v>-22</v>
      </c>
      <c r="S143" s="140">
        <v>29</v>
      </c>
      <c r="T143" s="142">
        <f t="shared" si="24"/>
        <v>0</v>
      </c>
      <c r="U143" s="142">
        <f t="shared" si="25"/>
        <v>-1623.8200000000002</v>
      </c>
      <c r="V143" s="140">
        <f t="shared" si="26"/>
        <v>129</v>
      </c>
      <c r="Y143" s="142"/>
    </row>
    <row r="144" spans="1:25" s="138" customFormat="1" ht="12">
      <c r="A144" s="134" t="s">
        <v>384</v>
      </c>
      <c r="B144" s="135">
        <v>42963</v>
      </c>
      <c r="C144" s="151" t="s">
        <v>385</v>
      </c>
      <c r="D144" s="152">
        <v>1802.91</v>
      </c>
      <c r="K144" s="135">
        <f aca="true" t="shared" si="28" ref="K144:K165">M144</f>
        <v>42993</v>
      </c>
      <c r="L144" s="135"/>
      <c r="M144" s="135">
        <f t="shared" si="19"/>
        <v>42993</v>
      </c>
      <c r="N144" s="135">
        <v>42993</v>
      </c>
      <c r="O144" s="141">
        <f t="shared" si="20"/>
        <v>0</v>
      </c>
      <c r="P144" s="141">
        <f t="shared" si="21"/>
        <v>0</v>
      </c>
      <c r="Q144" s="141">
        <f t="shared" si="22"/>
        <v>0</v>
      </c>
      <c r="R144" s="141">
        <f t="shared" si="23"/>
        <v>-30</v>
      </c>
      <c r="S144" s="140">
        <v>29</v>
      </c>
      <c r="T144" s="142">
        <f t="shared" si="24"/>
        <v>0</v>
      </c>
      <c r="U144" s="142">
        <f t="shared" si="25"/>
        <v>-54087.3</v>
      </c>
      <c r="V144" s="140">
        <f t="shared" si="26"/>
        <v>129</v>
      </c>
      <c r="Y144" s="142"/>
    </row>
    <row r="145" spans="1:25" s="138" customFormat="1" ht="12">
      <c r="A145" s="134" t="s">
        <v>386</v>
      </c>
      <c r="B145" s="135">
        <v>42917</v>
      </c>
      <c r="C145" s="151" t="s">
        <v>387</v>
      </c>
      <c r="D145" s="152">
        <v>1923.91</v>
      </c>
      <c r="K145" s="135">
        <f t="shared" si="28"/>
        <v>42978</v>
      </c>
      <c r="L145" s="135"/>
      <c r="M145" s="135">
        <f t="shared" si="19"/>
        <v>42978</v>
      </c>
      <c r="N145" s="135">
        <v>42978</v>
      </c>
      <c r="O145" s="141">
        <f t="shared" si="20"/>
        <v>0</v>
      </c>
      <c r="P145" s="141">
        <f t="shared" si="21"/>
        <v>0</v>
      </c>
      <c r="Q145" s="141">
        <f t="shared" si="22"/>
        <v>0</v>
      </c>
      <c r="R145" s="141">
        <f t="shared" si="23"/>
        <v>-30</v>
      </c>
      <c r="S145" s="140">
        <v>29</v>
      </c>
      <c r="T145" s="142">
        <f t="shared" si="24"/>
        <v>0</v>
      </c>
      <c r="U145" s="142">
        <f t="shared" si="25"/>
        <v>-57717.3</v>
      </c>
      <c r="V145" s="140">
        <f t="shared" si="26"/>
        <v>129</v>
      </c>
      <c r="Y145" s="142"/>
    </row>
    <row r="146" spans="1:25" s="138" customFormat="1" ht="12">
      <c r="A146" s="134" t="s">
        <v>388</v>
      </c>
      <c r="B146" s="135">
        <v>42993</v>
      </c>
      <c r="C146" s="151" t="s">
        <v>389</v>
      </c>
      <c r="D146" s="152">
        <v>114.88</v>
      </c>
      <c r="K146" s="135">
        <f t="shared" si="28"/>
        <v>42996</v>
      </c>
      <c r="L146" s="135"/>
      <c r="M146" s="135">
        <f t="shared" si="19"/>
        <v>42996</v>
      </c>
      <c r="N146" s="135">
        <v>42996</v>
      </c>
      <c r="O146" s="141">
        <f t="shared" si="20"/>
        <v>0</v>
      </c>
      <c r="P146" s="141">
        <f t="shared" si="21"/>
        <v>0</v>
      </c>
      <c r="Q146" s="141">
        <f t="shared" si="22"/>
        <v>0</v>
      </c>
      <c r="R146" s="141">
        <f t="shared" si="23"/>
        <v>-30</v>
      </c>
      <c r="S146" s="140">
        <v>29</v>
      </c>
      <c r="T146" s="142">
        <f t="shared" si="24"/>
        <v>0</v>
      </c>
      <c r="U146" s="142">
        <f t="shared" si="25"/>
        <v>-3446.3999999999996</v>
      </c>
      <c r="V146" s="140">
        <f t="shared" si="26"/>
        <v>129</v>
      </c>
      <c r="Y146" s="142"/>
    </row>
    <row r="147" spans="1:25" s="138" customFormat="1" ht="12">
      <c r="A147" s="134" t="s">
        <v>390</v>
      </c>
      <c r="B147" s="135">
        <v>42947</v>
      </c>
      <c r="C147" s="151" t="s">
        <v>391</v>
      </c>
      <c r="D147" s="152">
        <v>35.09</v>
      </c>
      <c r="K147" s="135">
        <f t="shared" si="28"/>
        <v>42949</v>
      </c>
      <c r="L147" s="135"/>
      <c r="M147" s="135">
        <f t="shared" si="19"/>
        <v>42949</v>
      </c>
      <c r="N147" s="135">
        <v>42949</v>
      </c>
      <c r="O147" s="141">
        <f t="shared" si="20"/>
        <v>0</v>
      </c>
      <c r="P147" s="141">
        <f t="shared" si="21"/>
        <v>0</v>
      </c>
      <c r="Q147" s="141">
        <f t="shared" si="22"/>
        <v>0</v>
      </c>
      <c r="R147" s="141">
        <f t="shared" si="23"/>
        <v>-30</v>
      </c>
      <c r="S147" s="140">
        <v>21</v>
      </c>
      <c r="T147" s="142">
        <f t="shared" si="24"/>
        <v>0</v>
      </c>
      <c r="U147" s="142">
        <f t="shared" si="25"/>
        <v>-1052.7</v>
      </c>
      <c r="V147" s="140">
        <f t="shared" si="26"/>
        <v>121</v>
      </c>
      <c r="Y147" s="142"/>
    </row>
    <row r="148" spans="1:25" s="138" customFormat="1" ht="12">
      <c r="A148" s="134" t="s">
        <v>392</v>
      </c>
      <c r="B148" s="135">
        <v>42972</v>
      </c>
      <c r="C148" s="134" t="s">
        <v>393</v>
      </c>
      <c r="D148" s="150">
        <v>16.94</v>
      </c>
      <c r="K148" s="135">
        <f t="shared" si="28"/>
        <v>42976</v>
      </c>
      <c r="L148" s="135"/>
      <c r="M148" s="135">
        <f t="shared" si="19"/>
        <v>42976</v>
      </c>
      <c r="N148" s="135">
        <v>42976</v>
      </c>
      <c r="O148" s="141">
        <f t="shared" si="20"/>
        <v>0</v>
      </c>
      <c r="P148" s="141">
        <f t="shared" si="21"/>
        <v>0</v>
      </c>
      <c r="Q148" s="141">
        <f t="shared" si="22"/>
        <v>0</v>
      </c>
      <c r="R148" s="141">
        <f t="shared" si="23"/>
        <v>-30</v>
      </c>
      <c r="S148" s="140">
        <v>21</v>
      </c>
      <c r="T148" s="142">
        <f t="shared" si="24"/>
        <v>0</v>
      </c>
      <c r="U148" s="142">
        <f t="shared" si="25"/>
        <v>-508.20000000000005</v>
      </c>
      <c r="V148" s="140">
        <f t="shared" si="26"/>
        <v>121</v>
      </c>
      <c r="Y148" s="142"/>
    </row>
    <row r="149" spans="1:25" s="138" customFormat="1" ht="12">
      <c r="A149" s="134" t="s">
        <v>394</v>
      </c>
      <c r="B149" s="135">
        <v>42979</v>
      </c>
      <c r="C149" s="151" t="s">
        <v>395</v>
      </c>
      <c r="D149" s="152">
        <v>44.71</v>
      </c>
      <c r="K149" s="135">
        <f t="shared" si="28"/>
        <v>42983</v>
      </c>
      <c r="L149" s="135"/>
      <c r="M149" s="135">
        <f t="shared" si="19"/>
        <v>42983</v>
      </c>
      <c r="N149" s="135">
        <v>42983</v>
      </c>
      <c r="O149" s="141">
        <f t="shared" si="20"/>
        <v>0</v>
      </c>
      <c r="P149" s="141">
        <f t="shared" si="21"/>
        <v>0</v>
      </c>
      <c r="Q149" s="141">
        <f t="shared" si="22"/>
        <v>0</v>
      </c>
      <c r="R149" s="141">
        <f t="shared" si="23"/>
        <v>-30</v>
      </c>
      <c r="S149" s="140">
        <v>21</v>
      </c>
      <c r="T149" s="142">
        <f t="shared" si="24"/>
        <v>0</v>
      </c>
      <c r="U149" s="142">
        <f t="shared" si="25"/>
        <v>-1341.3</v>
      </c>
      <c r="V149" s="140">
        <f t="shared" si="26"/>
        <v>121</v>
      </c>
      <c r="Y149" s="142"/>
    </row>
    <row r="150" spans="1:25" s="138" customFormat="1" ht="12">
      <c r="A150" s="134" t="s">
        <v>396</v>
      </c>
      <c r="B150" s="135">
        <v>42944</v>
      </c>
      <c r="C150" s="151" t="s">
        <v>397</v>
      </c>
      <c r="D150" s="152">
        <v>406.22</v>
      </c>
      <c r="K150" s="135">
        <f t="shared" si="28"/>
        <v>42963</v>
      </c>
      <c r="L150" s="135"/>
      <c r="M150" s="135">
        <f t="shared" si="19"/>
        <v>42963</v>
      </c>
      <c r="N150" s="135">
        <v>42963</v>
      </c>
      <c r="O150" s="141">
        <f t="shared" si="20"/>
        <v>0</v>
      </c>
      <c r="P150" s="141">
        <f t="shared" si="21"/>
        <v>0</v>
      </c>
      <c r="Q150" s="141">
        <f t="shared" si="22"/>
        <v>0</v>
      </c>
      <c r="R150" s="141">
        <f t="shared" si="23"/>
        <v>-30</v>
      </c>
      <c r="S150" s="140">
        <v>29</v>
      </c>
      <c r="T150" s="142">
        <f t="shared" si="24"/>
        <v>0</v>
      </c>
      <c r="U150" s="142">
        <f t="shared" si="25"/>
        <v>-12186.6</v>
      </c>
      <c r="V150" s="140">
        <f t="shared" si="26"/>
        <v>129</v>
      </c>
      <c r="Y150" s="142"/>
    </row>
    <row r="151" spans="1:25" s="138" customFormat="1" ht="12">
      <c r="A151" s="134" t="s">
        <v>398</v>
      </c>
      <c r="B151" s="135">
        <v>42977</v>
      </c>
      <c r="C151" s="151" t="s">
        <v>399</v>
      </c>
      <c r="D151" s="152">
        <v>357.28</v>
      </c>
      <c r="K151" s="135">
        <f t="shared" si="28"/>
        <v>42996</v>
      </c>
      <c r="L151" s="135"/>
      <c r="M151" s="135">
        <f t="shared" si="19"/>
        <v>42996</v>
      </c>
      <c r="N151" s="135">
        <v>42996</v>
      </c>
      <c r="O151" s="141">
        <f t="shared" si="20"/>
        <v>0</v>
      </c>
      <c r="P151" s="141">
        <f t="shared" si="21"/>
        <v>0</v>
      </c>
      <c r="Q151" s="141">
        <f t="shared" si="22"/>
        <v>0</v>
      </c>
      <c r="R151" s="141">
        <f t="shared" si="23"/>
        <v>-30</v>
      </c>
      <c r="S151" s="140">
        <v>29</v>
      </c>
      <c r="T151" s="142">
        <f t="shared" si="24"/>
        <v>0</v>
      </c>
      <c r="U151" s="142">
        <f t="shared" si="25"/>
        <v>-10718.4</v>
      </c>
      <c r="V151" s="140">
        <f t="shared" si="26"/>
        <v>129</v>
      </c>
      <c r="Y151" s="142"/>
    </row>
    <row r="152" spans="1:25" s="138" customFormat="1" ht="12">
      <c r="A152" s="134" t="s">
        <v>400</v>
      </c>
      <c r="B152" s="135">
        <v>42917</v>
      </c>
      <c r="C152" s="151" t="s">
        <v>401</v>
      </c>
      <c r="D152" s="152">
        <v>56</v>
      </c>
      <c r="K152" s="135">
        <f t="shared" si="28"/>
        <v>42927</v>
      </c>
      <c r="L152" s="135"/>
      <c r="M152" s="135">
        <f t="shared" si="19"/>
        <v>42927</v>
      </c>
      <c r="N152" s="135">
        <v>42927</v>
      </c>
      <c r="O152" s="141">
        <f t="shared" si="20"/>
        <v>0</v>
      </c>
      <c r="P152" s="141">
        <f t="shared" si="21"/>
        <v>0</v>
      </c>
      <c r="Q152" s="141">
        <f t="shared" si="22"/>
        <v>0</v>
      </c>
      <c r="R152" s="141">
        <f t="shared" si="23"/>
        <v>-30</v>
      </c>
      <c r="S152" s="140">
        <v>29</v>
      </c>
      <c r="T152" s="142">
        <f t="shared" si="24"/>
        <v>0</v>
      </c>
      <c r="U152" s="142">
        <f t="shared" si="25"/>
        <v>-1680</v>
      </c>
      <c r="V152" s="140">
        <f t="shared" si="26"/>
        <v>129</v>
      </c>
      <c r="Y152" s="142"/>
    </row>
    <row r="153" spans="1:25" s="138" customFormat="1" ht="12">
      <c r="A153" s="134" t="s">
        <v>402</v>
      </c>
      <c r="B153" s="135">
        <v>42939</v>
      </c>
      <c r="C153" s="151" t="s">
        <v>403</v>
      </c>
      <c r="D153" s="152">
        <v>75.07</v>
      </c>
      <c r="K153" s="135">
        <f t="shared" si="28"/>
        <v>42943</v>
      </c>
      <c r="L153" s="135"/>
      <c r="M153" s="135">
        <f t="shared" si="19"/>
        <v>42943</v>
      </c>
      <c r="N153" s="135">
        <v>42943</v>
      </c>
      <c r="O153" s="141">
        <f t="shared" si="20"/>
        <v>0</v>
      </c>
      <c r="P153" s="141">
        <f t="shared" si="21"/>
        <v>0</v>
      </c>
      <c r="Q153" s="141">
        <f t="shared" si="22"/>
        <v>0</v>
      </c>
      <c r="R153" s="141">
        <f t="shared" si="23"/>
        <v>-30</v>
      </c>
      <c r="S153" s="140">
        <v>29</v>
      </c>
      <c r="T153" s="142">
        <f t="shared" si="24"/>
        <v>0</v>
      </c>
      <c r="U153" s="142">
        <f t="shared" si="25"/>
        <v>-2252.1</v>
      </c>
      <c r="V153" s="140">
        <f t="shared" si="26"/>
        <v>129</v>
      </c>
      <c r="Y153" s="142"/>
    </row>
    <row r="154" spans="1:25" s="138" customFormat="1" ht="12">
      <c r="A154" s="134" t="s">
        <v>404</v>
      </c>
      <c r="B154" s="135">
        <v>42939</v>
      </c>
      <c r="C154" s="151" t="s">
        <v>405</v>
      </c>
      <c r="D154" s="152">
        <v>72.65</v>
      </c>
      <c r="K154" s="135">
        <f t="shared" si="28"/>
        <v>42943</v>
      </c>
      <c r="L154" s="135"/>
      <c r="M154" s="135">
        <f t="shared" si="19"/>
        <v>42943</v>
      </c>
      <c r="N154" s="135">
        <v>42943</v>
      </c>
      <c r="O154" s="141">
        <f t="shared" si="20"/>
        <v>0</v>
      </c>
      <c r="P154" s="141">
        <f t="shared" si="21"/>
        <v>0</v>
      </c>
      <c r="Q154" s="141">
        <f t="shared" si="22"/>
        <v>0</v>
      </c>
      <c r="R154" s="141">
        <f t="shared" si="23"/>
        <v>-30</v>
      </c>
      <c r="S154" s="140">
        <v>29</v>
      </c>
      <c r="T154" s="142">
        <f t="shared" si="24"/>
        <v>0</v>
      </c>
      <c r="U154" s="142">
        <f t="shared" si="25"/>
        <v>-2179.5</v>
      </c>
      <c r="V154" s="140">
        <f t="shared" si="26"/>
        <v>129</v>
      </c>
      <c r="Y154" s="142"/>
    </row>
    <row r="155" spans="1:25" s="138" customFormat="1" ht="12">
      <c r="A155" s="134" t="s">
        <v>406</v>
      </c>
      <c r="B155" s="135">
        <v>42939</v>
      </c>
      <c r="C155" s="134" t="s">
        <v>407</v>
      </c>
      <c r="D155" s="150">
        <v>1107.29</v>
      </c>
      <c r="K155" s="135">
        <f t="shared" si="28"/>
        <v>42943</v>
      </c>
      <c r="L155" s="135"/>
      <c r="M155" s="135">
        <f t="shared" si="19"/>
        <v>42943</v>
      </c>
      <c r="N155" s="135">
        <v>42943</v>
      </c>
      <c r="O155" s="141">
        <f t="shared" si="20"/>
        <v>0</v>
      </c>
      <c r="P155" s="141">
        <f t="shared" si="21"/>
        <v>0</v>
      </c>
      <c r="Q155" s="141">
        <f t="shared" si="22"/>
        <v>0</v>
      </c>
      <c r="R155" s="141">
        <f t="shared" si="23"/>
        <v>-30</v>
      </c>
      <c r="S155" s="140">
        <v>29</v>
      </c>
      <c r="T155" s="142">
        <f t="shared" si="24"/>
        <v>0</v>
      </c>
      <c r="U155" s="142">
        <f t="shared" si="25"/>
        <v>-33218.7</v>
      </c>
      <c r="V155" s="140">
        <f t="shared" si="26"/>
        <v>129</v>
      </c>
      <c r="Y155" s="142"/>
    </row>
    <row r="156" spans="1:25" s="138" customFormat="1" ht="12">
      <c r="A156" s="134" t="s">
        <v>408</v>
      </c>
      <c r="B156" s="135">
        <v>42939</v>
      </c>
      <c r="C156" s="151" t="s">
        <v>409</v>
      </c>
      <c r="D156" s="152">
        <v>540.3</v>
      </c>
      <c r="K156" s="135">
        <f t="shared" si="28"/>
        <v>42943</v>
      </c>
      <c r="L156" s="135"/>
      <c r="M156" s="135">
        <f t="shared" si="19"/>
        <v>42943</v>
      </c>
      <c r="N156" s="135">
        <v>42943</v>
      </c>
      <c r="O156" s="141">
        <f t="shared" si="20"/>
        <v>0</v>
      </c>
      <c r="P156" s="141">
        <f t="shared" si="21"/>
        <v>0</v>
      </c>
      <c r="Q156" s="141">
        <f t="shared" si="22"/>
        <v>0</v>
      </c>
      <c r="R156" s="141">
        <f t="shared" si="23"/>
        <v>-30</v>
      </c>
      <c r="S156" s="140">
        <v>29</v>
      </c>
      <c r="T156" s="142">
        <f t="shared" si="24"/>
        <v>0</v>
      </c>
      <c r="U156" s="142">
        <f t="shared" si="25"/>
        <v>-16208.999999999998</v>
      </c>
      <c r="V156" s="140">
        <f t="shared" si="26"/>
        <v>129</v>
      </c>
      <c r="Y156" s="142"/>
    </row>
    <row r="157" spans="1:25" s="138" customFormat="1" ht="12">
      <c r="A157" s="134" t="s">
        <v>410</v>
      </c>
      <c r="B157" s="135">
        <v>42970</v>
      </c>
      <c r="C157" s="151" t="s">
        <v>411</v>
      </c>
      <c r="D157" s="152">
        <v>75.07</v>
      </c>
      <c r="K157" s="135">
        <f t="shared" si="28"/>
        <v>42976</v>
      </c>
      <c r="L157" s="135"/>
      <c r="M157" s="135">
        <f t="shared" si="19"/>
        <v>42976</v>
      </c>
      <c r="N157" s="135">
        <v>42976</v>
      </c>
      <c r="O157" s="141">
        <f t="shared" si="20"/>
        <v>0</v>
      </c>
      <c r="P157" s="141">
        <f t="shared" si="21"/>
        <v>0</v>
      </c>
      <c r="Q157" s="141">
        <f t="shared" si="22"/>
        <v>0</v>
      </c>
      <c r="R157" s="141">
        <f t="shared" si="23"/>
        <v>-30</v>
      </c>
      <c r="S157" s="140">
        <v>29</v>
      </c>
      <c r="T157" s="142">
        <f t="shared" si="24"/>
        <v>0</v>
      </c>
      <c r="U157" s="142">
        <f t="shared" si="25"/>
        <v>-2252.1</v>
      </c>
      <c r="V157" s="140">
        <f t="shared" si="26"/>
        <v>129</v>
      </c>
      <c r="Y157" s="142"/>
    </row>
    <row r="158" spans="1:25" s="138" customFormat="1" ht="12">
      <c r="A158" s="134" t="s">
        <v>412</v>
      </c>
      <c r="B158" s="135">
        <v>42970</v>
      </c>
      <c r="C158" s="151" t="s">
        <v>413</v>
      </c>
      <c r="D158" s="152">
        <v>72.65</v>
      </c>
      <c r="K158" s="135">
        <f t="shared" si="28"/>
        <v>42976</v>
      </c>
      <c r="L158" s="135"/>
      <c r="M158" s="135">
        <f t="shared" si="19"/>
        <v>42976</v>
      </c>
      <c r="N158" s="135">
        <v>42976</v>
      </c>
      <c r="O158" s="141">
        <f t="shared" si="20"/>
        <v>0</v>
      </c>
      <c r="P158" s="141">
        <f t="shared" si="21"/>
        <v>0</v>
      </c>
      <c r="Q158" s="141">
        <f t="shared" si="22"/>
        <v>0</v>
      </c>
      <c r="R158" s="141">
        <f t="shared" si="23"/>
        <v>-30</v>
      </c>
      <c r="S158" s="140">
        <v>29</v>
      </c>
      <c r="T158" s="142">
        <f t="shared" si="24"/>
        <v>0</v>
      </c>
      <c r="U158" s="142">
        <f t="shared" si="25"/>
        <v>-2179.5</v>
      </c>
      <c r="V158" s="140">
        <f t="shared" si="26"/>
        <v>129</v>
      </c>
      <c r="Y158" s="142"/>
    </row>
    <row r="159" spans="1:25" s="138" customFormat="1" ht="12">
      <c r="A159" s="134" t="s">
        <v>414</v>
      </c>
      <c r="B159" s="135">
        <v>42970</v>
      </c>
      <c r="C159" s="151" t="s">
        <v>415</v>
      </c>
      <c r="D159" s="152">
        <v>1057.85</v>
      </c>
      <c r="K159" s="135">
        <f t="shared" si="28"/>
        <v>42976</v>
      </c>
      <c r="L159" s="135"/>
      <c r="M159" s="135">
        <f t="shared" si="19"/>
        <v>42976</v>
      </c>
      <c r="N159" s="135">
        <v>42976</v>
      </c>
      <c r="O159" s="141">
        <f t="shared" si="20"/>
        <v>0</v>
      </c>
      <c r="P159" s="141">
        <f t="shared" si="21"/>
        <v>0</v>
      </c>
      <c r="Q159" s="141">
        <f t="shared" si="22"/>
        <v>0</v>
      </c>
      <c r="R159" s="141">
        <f t="shared" si="23"/>
        <v>-30</v>
      </c>
      <c r="S159" s="140">
        <v>29</v>
      </c>
      <c r="T159" s="142">
        <f t="shared" si="24"/>
        <v>0</v>
      </c>
      <c r="U159" s="142">
        <f t="shared" si="25"/>
        <v>-31735.499999999996</v>
      </c>
      <c r="V159" s="140">
        <f t="shared" si="26"/>
        <v>129</v>
      </c>
      <c r="Y159" s="142"/>
    </row>
    <row r="160" spans="1:25" s="138" customFormat="1" ht="12">
      <c r="A160" s="134" t="s">
        <v>416</v>
      </c>
      <c r="B160" s="135">
        <v>42970</v>
      </c>
      <c r="C160" s="151" t="s">
        <v>417</v>
      </c>
      <c r="D160" s="152">
        <v>512.71</v>
      </c>
      <c r="K160" s="135">
        <f t="shared" si="28"/>
        <v>42976</v>
      </c>
      <c r="L160" s="135"/>
      <c r="M160" s="135">
        <f t="shared" si="19"/>
        <v>42976</v>
      </c>
      <c r="N160" s="135">
        <v>42976</v>
      </c>
      <c r="O160" s="141">
        <f t="shared" si="20"/>
        <v>0</v>
      </c>
      <c r="P160" s="141">
        <f t="shared" si="21"/>
        <v>0</v>
      </c>
      <c r="Q160" s="141">
        <f t="shared" si="22"/>
        <v>0</v>
      </c>
      <c r="R160" s="141">
        <f t="shared" si="23"/>
        <v>-30</v>
      </c>
      <c r="S160" s="140">
        <v>29</v>
      </c>
      <c r="T160" s="142">
        <f t="shared" si="24"/>
        <v>0</v>
      </c>
      <c r="U160" s="142">
        <f t="shared" si="25"/>
        <v>-15381.300000000001</v>
      </c>
      <c r="V160" s="140">
        <f t="shared" si="26"/>
        <v>129</v>
      </c>
      <c r="Y160" s="142"/>
    </row>
    <row r="161" spans="1:25" s="138" customFormat="1" ht="12">
      <c r="A161" s="134" t="s">
        <v>418</v>
      </c>
      <c r="B161" s="135">
        <v>42939</v>
      </c>
      <c r="C161" s="151" t="s">
        <v>419</v>
      </c>
      <c r="D161" s="152">
        <v>300.62</v>
      </c>
      <c r="K161" s="135">
        <f t="shared" si="28"/>
        <v>42943</v>
      </c>
      <c r="L161" s="135"/>
      <c r="M161" s="135">
        <f t="shared" si="19"/>
        <v>42943</v>
      </c>
      <c r="N161" s="135">
        <v>42943</v>
      </c>
      <c r="O161" s="141">
        <f t="shared" si="20"/>
        <v>0</v>
      </c>
      <c r="P161" s="141">
        <f t="shared" si="21"/>
        <v>0</v>
      </c>
      <c r="Q161" s="141">
        <f t="shared" si="22"/>
        <v>0</v>
      </c>
      <c r="R161" s="141">
        <f t="shared" si="23"/>
        <v>-30</v>
      </c>
      <c r="S161" s="140">
        <v>29</v>
      </c>
      <c r="T161" s="142">
        <f t="shared" si="24"/>
        <v>0</v>
      </c>
      <c r="U161" s="142">
        <f t="shared" si="25"/>
        <v>-9018.6</v>
      </c>
      <c r="V161" s="140">
        <f t="shared" si="26"/>
        <v>129</v>
      </c>
      <c r="Y161" s="142"/>
    </row>
    <row r="162" spans="1:25" s="138" customFormat="1" ht="12">
      <c r="A162" s="134" t="s">
        <v>420</v>
      </c>
      <c r="B162" s="135">
        <v>42970</v>
      </c>
      <c r="C162" s="134" t="s">
        <v>421</v>
      </c>
      <c r="D162" s="150">
        <v>300.62</v>
      </c>
      <c r="K162" s="135">
        <f t="shared" si="28"/>
        <v>42976</v>
      </c>
      <c r="L162" s="135"/>
      <c r="M162" s="135">
        <f t="shared" si="19"/>
        <v>42976</v>
      </c>
      <c r="N162" s="135">
        <v>42976</v>
      </c>
      <c r="O162" s="141">
        <f t="shared" si="20"/>
        <v>0</v>
      </c>
      <c r="P162" s="141">
        <f t="shared" si="21"/>
        <v>0</v>
      </c>
      <c r="Q162" s="141">
        <f t="shared" si="22"/>
        <v>0</v>
      </c>
      <c r="R162" s="141">
        <f t="shared" si="23"/>
        <v>-30</v>
      </c>
      <c r="S162" s="140">
        <v>29</v>
      </c>
      <c r="T162" s="142">
        <f t="shared" si="24"/>
        <v>0</v>
      </c>
      <c r="U162" s="142">
        <f t="shared" si="25"/>
        <v>-9018.6</v>
      </c>
      <c r="V162" s="140">
        <f t="shared" si="26"/>
        <v>129</v>
      </c>
      <c r="Y162" s="142"/>
    </row>
    <row r="163" spans="1:25" s="138" customFormat="1" ht="12">
      <c r="A163" s="134" t="s">
        <v>422</v>
      </c>
      <c r="B163" s="135">
        <v>42976</v>
      </c>
      <c r="C163" s="151" t="s">
        <v>423</v>
      </c>
      <c r="D163" s="152">
        <v>70</v>
      </c>
      <c r="K163" s="135">
        <f t="shared" si="28"/>
        <v>42933</v>
      </c>
      <c r="L163" s="135"/>
      <c r="M163" s="135">
        <f t="shared" si="19"/>
        <v>42933</v>
      </c>
      <c r="N163" s="135">
        <v>42933</v>
      </c>
      <c r="O163" s="141">
        <f t="shared" si="20"/>
        <v>0</v>
      </c>
      <c r="P163" s="141">
        <f t="shared" si="21"/>
        <v>0</v>
      </c>
      <c r="Q163" s="141">
        <f t="shared" si="22"/>
        <v>0</v>
      </c>
      <c r="R163" s="141">
        <f t="shared" si="23"/>
        <v>-30</v>
      </c>
      <c r="S163" s="140">
        <v>29</v>
      </c>
      <c r="T163" s="142">
        <f t="shared" si="24"/>
        <v>0</v>
      </c>
      <c r="U163" s="142">
        <f t="shared" si="25"/>
        <v>-2100</v>
      </c>
      <c r="V163" s="140">
        <f t="shared" si="26"/>
        <v>129</v>
      </c>
      <c r="Y163" s="142"/>
    </row>
    <row r="164" spans="1:25" s="138" customFormat="1" ht="12">
      <c r="A164" s="134" t="s">
        <v>424</v>
      </c>
      <c r="B164" s="135">
        <v>42935</v>
      </c>
      <c r="C164" s="151" t="s">
        <v>425</v>
      </c>
      <c r="D164" s="152">
        <v>70</v>
      </c>
      <c r="K164" s="135">
        <f t="shared" si="28"/>
        <v>42933</v>
      </c>
      <c r="L164" s="135"/>
      <c r="M164" s="135">
        <f t="shared" si="19"/>
        <v>42933</v>
      </c>
      <c r="N164" s="135">
        <v>42933</v>
      </c>
      <c r="O164" s="141">
        <f t="shared" si="20"/>
        <v>0</v>
      </c>
      <c r="P164" s="141">
        <f t="shared" si="21"/>
        <v>0</v>
      </c>
      <c r="Q164" s="141">
        <f t="shared" si="22"/>
        <v>0</v>
      </c>
      <c r="R164" s="141">
        <f t="shared" si="23"/>
        <v>-30</v>
      </c>
      <c r="S164" s="140">
        <v>29</v>
      </c>
      <c r="T164" s="142">
        <f t="shared" si="24"/>
        <v>0</v>
      </c>
      <c r="U164" s="142">
        <f t="shared" si="25"/>
        <v>-2100</v>
      </c>
      <c r="V164" s="140">
        <f t="shared" si="26"/>
        <v>129</v>
      </c>
      <c r="Y164" s="142"/>
    </row>
    <row r="165" spans="1:25" s="138" customFormat="1" ht="12">
      <c r="A165" s="134" t="s">
        <v>426</v>
      </c>
      <c r="B165" s="135">
        <v>42976</v>
      </c>
      <c r="C165" s="151" t="s">
        <v>427</v>
      </c>
      <c r="D165" s="152">
        <v>6655</v>
      </c>
      <c r="K165" s="135">
        <f t="shared" si="28"/>
        <v>42978</v>
      </c>
      <c r="L165" s="135"/>
      <c r="M165" s="135">
        <f t="shared" si="19"/>
        <v>42978</v>
      </c>
      <c r="N165" s="135">
        <v>42978</v>
      </c>
      <c r="O165" s="141">
        <f t="shared" si="20"/>
        <v>0</v>
      </c>
      <c r="P165" s="141">
        <f t="shared" si="21"/>
        <v>0</v>
      </c>
      <c r="Q165" s="141">
        <f t="shared" si="22"/>
        <v>0</v>
      </c>
      <c r="R165" s="141">
        <f t="shared" si="23"/>
        <v>-30</v>
      </c>
      <c r="S165" s="140">
        <v>29</v>
      </c>
      <c r="T165" s="142">
        <f t="shared" si="24"/>
        <v>0</v>
      </c>
      <c r="U165" s="142">
        <f t="shared" si="25"/>
        <v>-199650</v>
      </c>
      <c r="V165" s="140">
        <f t="shared" si="26"/>
        <v>129</v>
      </c>
      <c r="Y165" s="142"/>
    </row>
    <row r="166" spans="1:25" s="138" customFormat="1" ht="12">
      <c r="A166" s="134" t="s">
        <v>428</v>
      </c>
      <c r="B166" s="135">
        <v>42989</v>
      </c>
      <c r="C166" s="151" t="s">
        <v>429</v>
      </c>
      <c r="D166" s="152">
        <v>217.8</v>
      </c>
      <c r="K166" s="135">
        <v>43000</v>
      </c>
      <c r="L166" s="135"/>
      <c r="M166" s="135">
        <f t="shared" si="19"/>
        <v>43007</v>
      </c>
      <c r="N166" s="135">
        <v>43007</v>
      </c>
      <c r="O166" s="141">
        <f t="shared" si="20"/>
        <v>7</v>
      </c>
      <c r="P166" s="141">
        <f t="shared" si="21"/>
        <v>0</v>
      </c>
      <c r="Q166" s="141">
        <f t="shared" si="22"/>
        <v>7</v>
      </c>
      <c r="R166" s="141">
        <f t="shared" si="23"/>
        <v>-23</v>
      </c>
      <c r="S166" s="140">
        <v>29</v>
      </c>
      <c r="T166" s="142">
        <f t="shared" si="24"/>
        <v>0</v>
      </c>
      <c r="U166" s="142">
        <f t="shared" si="25"/>
        <v>-5009.400000000001</v>
      </c>
      <c r="V166" s="140">
        <f t="shared" si="26"/>
        <v>129</v>
      </c>
      <c r="Y166" s="142"/>
    </row>
    <row r="167" spans="1:25" s="138" customFormat="1" ht="12">
      <c r="A167" s="134" t="s">
        <v>430</v>
      </c>
      <c r="B167" s="135">
        <v>42978</v>
      </c>
      <c r="C167" s="151" t="s">
        <v>431</v>
      </c>
      <c r="D167" s="152">
        <v>222.04</v>
      </c>
      <c r="K167" s="135">
        <f>M167</f>
        <v>42978</v>
      </c>
      <c r="L167" s="135"/>
      <c r="M167" s="135">
        <f t="shared" si="19"/>
        <v>42978</v>
      </c>
      <c r="N167" s="135">
        <v>42978</v>
      </c>
      <c r="O167" s="141">
        <f t="shared" si="20"/>
        <v>0</v>
      </c>
      <c r="P167" s="141">
        <f t="shared" si="21"/>
        <v>0</v>
      </c>
      <c r="Q167" s="141">
        <f t="shared" si="22"/>
        <v>0</v>
      </c>
      <c r="R167" s="141">
        <f t="shared" si="23"/>
        <v>-30</v>
      </c>
      <c r="S167" s="140">
        <v>29</v>
      </c>
      <c r="T167" s="142">
        <f t="shared" si="24"/>
        <v>0</v>
      </c>
      <c r="U167" s="142">
        <f t="shared" si="25"/>
        <v>-6661.2</v>
      </c>
      <c r="V167" s="140">
        <f t="shared" si="26"/>
        <v>129</v>
      </c>
      <c r="Y167" s="142"/>
    </row>
    <row r="168" spans="1:25" s="138" customFormat="1" ht="12">
      <c r="A168" s="134" t="s">
        <v>432</v>
      </c>
      <c r="B168" s="135">
        <v>42950</v>
      </c>
      <c r="C168" s="151" t="s">
        <v>433</v>
      </c>
      <c r="D168" s="152">
        <v>804.65</v>
      </c>
      <c r="K168" s="135">
        <v>43000</v>
      </c>
      <c r="L168" s="135"/>
      <c r="M168" s="135">
        <f t="shared" si="19"/>
        <v>43007</v>
      </c>
      <c r="N168" s="135">
        <v>43007</v>
      </c>
      <c r="O168" s="141">
        <f t="shared" si="20"/>
        <v>7</v>
      </c>
      <c r="P168" s="141">
        <f t="shared" si="21"/>
        <v>0</v>
      </c>
      <c r="Q168" s="141">
        <f t="shared" si="22"/>
        <v>7</v>
      </c>
      <c r="R168" s="141">
        <f t="shared" si="23"/>
        <v>-23</v>
      </c>
      <c r="S168" s="140">
        <v>21</v>
      </c>
      <c r="T168" s="142">
        <f t="shared" si="24"/>
        <v>0</v>
      </c>
      <c r="U168" s="142">
        <f t="shared" si="25"/>
        <v>-18506.95</v>
      </c>
      <c r="V168" s="140">
        <f t="shared" si="26"/>
        <v>121</v>
      </c>
      <c r="Y168" s="142"/>
    </row>
    <row r="169" spans="1:25" s="138" customFormat="1" ht="12">
      <c r="A169" s="134" t="s">
        <v>434</v>
      </c>
      <c r="B169" s="135">
        <v>42977</v>
      </c>
      <c r="C169" s="151" t="s">
        <v>435</v>
      </c>
      <c r="D169" s="152">
        <v>355.05</v>
      </c>
      <c r="K169" s="135">
        <f>M169</f>
        <v>42996</v>
      </c>
      <c r="L169" s="135"/>
      <c r="M169" s="135">
        <f t="shared" si="19"/>
        <v>42996</v>
      </c>
      <c r="N169" s="135">
        <v>42996</v>
      </c>
      <c r="O169" s="141">
        <f t="shared" si="20"/>
        <v>0</v>
      </c>
      <c r="P169" s="141">
        <f t="shared" si="21"/>
        <v>0</v>
      </c>
      <c r="Q169" s="141">
        <f t="shared" si="22"/>
        <v>0</v>
      </c>
      <c r="R169" s="141">
        <f t="shared" si="23"/>
        <v>-30</v>
      </c>
      <c r="S169" s="140">
        <v>29</v>
      </c>
      <c r="T169" s="142">
        <f t="shared" si="24"/>
        <v>0</v>
      </c>
      <c r="U169" s="142">
        <f t="shared" si="25"/>
        <v>-10651.5</v>
      </c>
      <c r="V169" s="140">
        <f t="shared" si="26"/>
        <v>129</v>
      </c>
      <c r="Y169" s="142"/>
    </row>
    <row r="170" spans="1:25" s="138" customFormat="1" ht="12">
      <c r="A170" s="134" t="s">
        <v>436</v>
      </c>
      <c r="B170" s="135">
        <v>42993</v>
      </c>
      <c r="C170" s="151" t="s">
        <v>437</v>
      </c>
      <c r="D170" s="152">
        <v>117.98</v>
      </c>
      <c r="K170" s="135">
        <v>43003</v>
      </c>
      <c r="L170" s="135"/>
      <c r="M170" s="135">
        <f t="shared" si="19"/>
        <v>43007</v>
      </c>
      <c r="N170" s="135">
        <v>43007</v>
      </c>
      <c r="O170" s="141">
        <f t="shared" si="20"/>
        <v>4</v>
      </c>
      <c r="P170" s="141">
        <f t="shared" si="21"/>
        <v>0</v>
      </c>
      <c r="Q170" s="141">
        <f t="shared" si="22"/>
        <v>4</v>
      </c>
      <c r="R170" s="141">
        <f t="shared" si="23"/>
        <v>-26</v>
      </c>
      <c r="S170" s="140">
        <v>21</v>
      </c>
      <c r="T170" s="142">
        <f t="shared" si="24"/>
        <v>0</v>
      </c>
      <c r="U170" s="142">
        <f t="shared" si="25"/>
        <v>-3067.48</v>
      </c>
      <c r="V170" s="140">
        <f t="shared" si="26"/>
        <v>121</v>
      </c>
      <c r="Y170" s="142"/>
    </row>
    <row r="171" spans="1:25" s="138" customFormat="1" ht="12">
      <c r="A171" s="134" t="s">
        <v>438</v>
      </c>
      <c r="B171" s="135">
        <v>42997</v>
      </c>
      <c r="C171" s="151" t="s">
        <v>439</v>
      </c>
      <c r="D171" s="152">
        <v>338.8</v>
      </c>
      <c r="K171" s="135">
        <v>43003</v>
      </c>
      <c r="L171" s="135"/>
      <c r="M171" s="135">
        <f aca="true" t="shared" si="29" ref="M171:M205">+N171</f>
        <v>43007</v>
      </c>
      <c r="N171" s="135">
        <v>43007</v>
      </c>
      <c r="O171" s="141">
        <f aca="true" t="shared" si="30" ref="O171:O205">+M171-K171</f>
        <v>4</v>
      </c>
      <c r="P171" s="141">
        <f aca="true" t="shared" si="31" ref="P171:P205">+N171-M171</f>
        <v>0</v>
      </c>
      <c r="Q171" s="141">
        <f aca="true" t="shared" si="32" ref="Q171:Q205">+N171-K171</f>
        <v>4</v>
      </c>
      <c r="R171" s="141">
        <f aca="true" t="shared" si="33" ref="R171:R205">+Q171-30</f>
        <v>-26</v>
      </c>
      <c r="S171" s="140">
        <v>29</v>
      </c>
      <c r="T171" s="142">
        <f aca="true" t="shared" si="34" ref="T171:T205">+P171*D171</f>
        <v>0</v>
      </c>
      <c r="U171" s="142">
        <f aca="true" t="shared" si="35" ref="U171:U205">+R171*D171</f>
        <v>-8808.800000000001</v>
      </c>
      <c r="V171" s="140">
        <f aca="true" t="shared" si="36" ref="V171:V205">IF(P171&gt;30,200+S171,100+S171)</f>
        <v>129</v>
      </c>
      <c r="Y171" s="142"/>
    </row>
    <row r="172" spans="1:25" s="138" customFormat="1" ht="12">
      <c r="A172" s="134" t="s">
        <v>440</v>
      </c>
      <c r="B172" s="135">
        <v>42917</v>
      </c>
      <c r="C172" s="151" t="s">
        <v>441</v>
      </c>
      <c r="D172" s="152">
        <v>200</v>
      </c>
      <c r="K172" s="135">
        <v>43003</v>
      </c>
      <c r="L172" s="135"/>
      <c r="M172" s="135">
        <f t="shared" si="29"/>
        <v>43006</v>
      </c>
      <c r="N172" s="135">
        <v>43006</v>
      </c>
      <c r="O172" s="141">
        <f t="shared" si="30"/>
        <v>3</v>
      </c>
      <c r="P172" s="141">
        <f t="shared" si="31"/>
        <v>0</v>
      </c>
      <c r="Q172" s="141">
        <f t="shared" si="32"/>
        <v>3</v>
      </c>
      <c r="R172" s="141">
        <f t="shared" si="33"/>
        <v>-27</v>
      </c>
      <c r="S172" s="140">
        <v>29</v>
      </c>
      <c r="T172" s="142">
        <f t="shared" si="34"/>
        <v>0</v>
      </c>
      <c r="U172" s="142">
        <f t="shared" si="35"/>
        <v>-5400</v>
      </c>
      <c r="V172" s="140">
        <f t="shared" si="36"/>
        <v>129</v>
      </c>
      <c r="Y172" s="142"/>
    </row>
    <row r="173" spans="1:25" s="138" customFormat="1" ht="12">
      <c r="A173" s="134" t="s">
        <v>442</v>
      </c>
      <c r="B173" s="135">
        <v>42917</v>
      </c>
      <c r="C173" s="151" t="s">
        <v>443</v>
      </c>
      <c r="D173" s="152">
        <v>400</v>
      </c>
      <c r="K173" s="135">
        <v>43003</v>
      </c>
      <c r="L173" s="135"/>
      <c r="M173" s="135">
        <f t="shared" si="29"/>
        <v>43006</v>
      </c>
      <c r="N173" s="135">
        <v>43006</v>
      </c>
      <c r="O173" s="141">
        <f t="shared" si="30"/>
        <v>3</v>
      </c>
      <c r="P173" s="141">
        <f t="shared" si="31"/>
        <v>0</v>
      </c>
      <c r="Q173" s="141">
        <f t="shared" si="32"/>
        <v>3</v>
      </c>
      <c r="R173" s="141">
        <f t="shared" si="33"/>
        <v>-27</v>
      </c>
      <c r="S173" s="140">
        <v>29</v>
      </c>
      <c r="T173" s="142">
        <f t="shared" si="34"/>
        <v>0</v>
      </c>
      <c r="U173" s="142">
        <f t="shared" si="35"/>
        <v>-10800</v>
      </c>
      <c r="V173" s="140">
        <f t="shared" si="36"/>
        <v>129</v>
      </c>
      <c r="Y173" s="142"/>
    </row>
    <row r="174" spans="1:25" s="138" customFormat="1" ht="12">
      <c r="A174" s="134" t="s">
        <v>444</v>
      </c>
      <c r="B174" s="135">
        <v>42972</v>
      </c>
      <c r="C174" s="151" t="s">
        <v>445</v>
      </c>
      <c r="D174" s="152">
        <v>133.01</v>
      </c>
      <c r="K174" s="135">
        <v>43003</v>
      </c>
      <c r="L174" s="135"/>
      <c r="M174" s="135">
        <f t="shared" si="29"/>
        <v>43007</v>
      </c>
      <c r="N174" s="135">
        <v>43007</v>
      </c>
      <c r="O174" s="141">
        <f t="shared" si="30"/>
        <v>4</v>
      </c>
      <c r="P174" s="141">
        <f t="shared" si="31"/>
        <v>0</v>
      </c>
      <c r="Q174" s="141">
        <f t="shared" si="32"/>
        <v>4</v>
      </c>
      <c r="R174" s="141">
        <f t="shared" si="33"/>
        <v>-26</v>
      </c>
      <c r="S174" s="140">
        <v>29</v>
      </c>
      <c r="T174" s="142">
        <f t="shared" si="34"/>
        <v>0</v>
      </c>
      <c r="U174" s="142">
        <f t="shared" si="35"/>
        <v>-3458.2599999999998</v>
      </c>
      <c r="V174" s="140">
        <f t="shared" si="36"/>
        <v>129</v>
      </c>
      <c r="Y174" s="142"/>
    </row>
    <row r="175" spans="1:25" s="138" customFormat="1" ht="12">
      <c r="A175" s="134" t="s">
        <v>446</v>
      </c>
      <c r="B175" s="135">
        <v>42979</v>
      </c>
      <c r="C175" s="151" t="s">
        <v>447</v>
      </c>
      <c r="D175" s="152">
        <v>56.86</v>
      </c>
      <c r="K175" s="135">
        <f>M175</f>
        <v>42979</v>
      </c>
      <c r="L175" s="135"/>
      <c r="M175" s="135">
        <f t="shared" si="29"/>
        <v>42979</v>
      </c>
      <c r="N175" s="135">
        <v>42979</v>
      </c>
      <c r="O175" s="141">
        <f t="shared" si="30"/>
        <v>0</v>
      </c>
      <c r="P175" s="141">
        <f t="shared" si="31"/>
        <v>0</v>
      </c>
      <c r="Q175" s="141">
        <f t="shared" si="32"/>
        <v>0</v>
      </c>
      <c r="R175" s="141">
        <f t="shared" si="33"/>
        <v>-30</v>
      </c>
      <c r="S175" s="140">
        <v>21</v>
      </c>
      <c r="T175" s="142">
        <f t="shared" si="34"/>
        <v>0</v>
      </c>
      <c r="U175" s="142">
        <f t="shared" si="35"/>
        <v>-1705.8</v>
      </c>
      <c r="V175" s="140">
        <f t="shared" si="36"/>
        <v>121</v>
      </c>
      <c r="Y175" s="142"/>
    </row>
    <row r="176" spans="1:25" s="138" customFormat="1" ht="12">
      <c r="A176" s="134" t="s">
        <v>448</v>
      </c>
      <c r="B176" s="135">
        <v>42999</v>
      </c>
      <c r="C176" s="151" t="s">
        <v>449</v>
      </c>
      <c r="D176" s="152">
        <v>844.18</v>
      </c>
      <c r="K176" s="135">
        <v>43003</v>
      </c>
      <c r="L176" s="135"/>
      <c r="M176" s="135">
        <f t="shared" si="29"/>
        <v>43007</v>
      </c>
      <c r="N176" s="135">
        <v>43007</v>
      </c>
      <c r="O176" s="141">
        <f t="shared" si="30"/>
        <v>4</v>
      </c>
      <c r="P176" s="141">
        <f t="shared" si="31"/>
        <v>0</v>
      </c>
      <c r="Q176" s="141">
        <f t="shared" si="32"/>
        <v>4</v>
      </c>
      <c r="R176" s="141">
        <f t="shared" si="33"/>
        <v>-26</v>
      </c>
      <c r="S176" s="140">
        <v>29</v>
      </c>
      <c r="T176" s="142">
        <f t="shared" si="34"/>
        <v>0</v>
      </c>
      <c r="U176" s="142">
        <f t="shared" si="35"/>
        <v>-21948.68</v>
      </c>
      <c r="V176" s="140">
        <f t="shared" si="36"/>
        <v>129</v>
      </c>
      <c r="Y176" s="142"/>
    </row>
    <row r="177" spans="1:25" s="138" customFormat="1" ht="12">
      <c r="A177" s="134" t="s">
        <v>450</v>
      </c>
      <c r="B177" s="135">
        <v>42942</v>
      </c>
      <c r="C177" s="151" t="s">
        <v>451</v>
      </c>
      <c r="D177" s="152">
        <v>72.6</v>
      </c>
      <c r="K177" s="135">
        <v>43003</v>
      </c>
      <c r="L177" s="135"/>
      <c r="M177" s="135">
        <f t="shared" si="29"/>
        <v>43007</v>
      </c>
      <c r="N177" s="135">
        <v>43007</v>
      </c>
      <c r="O177" s="141">
        <f t="shared" si="30"/>
        <v>4</v>
      </c>
      <c r="P177" s="141">
        <f t="shared" si="31"/>
        <v>0</v>
      </c>
      <c r="Q177" s="141">
        <f t="shared" si="32"/>
        <v>4</v>
      </c>
      <c r="R177" s="141">
        <f t="shared" si="33"/>
        <v>-26</v>
      </c>
      <c r="S177" s="140">
        <v>29</v>
      </c>
      <c r="T177" s="142">
        <f t="shared" si="34"/>
        <v>0</v>
      </c>
      <c r="U177" s="142">
        <f t="shared" si="35"/>
        <v>-1887.6</v>
      </c>
      <c r="V177" s="140">
        <f t="shared" si="36"/>
        <v>129</v>
      </c>
      <c r="Y177" s="142"/>
    </row>
    <row r="178" spans="1:25" s="138" customFormat="1" ht="12">
      <c r="A178" s="134" t="s">
        <v>452</v>
      </c>
      <c r="B178" s="135">
        <v>42954</v>
      </c>
      <c r="C178" s="151" t="s">
        <v>453</v>
      </c>
      <c r="D178" s="152">
        <v>2861.04</v>
      </c>
      <c r="K178" s="135">
        <v>43004</v>
      </c>
      <c r="L178" s="135"/>
      <c r="M178" s="135">
        <f t="shared" si="29"/>
        <v>43007</v>
      </c>
      <c r="N178" s="135">
        <v>43007</v>
      </c>
      <c r="O178" s="141">
        <f t="shared" si="30"/>
        <v>3</v>
      </c>
      <c r="P178" s="141">
        <f t="shared" si="31"/>
        <v>0</v>
      </c>
      <c r="Q178" s="141">
        <f t="shared" si="32"/>
        <v>3</v>
      </c>
      <c r="R178" s="141">
        <f t="shared" si="33"/>
        <v>-27</v>
      </c>
      <c r="S178" s="140">
        <v>29</v>
      </c>
      <c r="T178" s="142">
        <f t="shared" si="34"/>
        <v>0</v>
      </c>
      <c r="U178" s="142">
        <f t="shared" si="35"/>
        <v>-77248.08</v>
      </c>
      <c r="V178" s="140">
        <f t="shared" si="36"/>
        <v>129</v>
      </c>
      <c r="Y178" s="142"/>
    </row>
    <row r="179" spans="1:25" s="138" customFormat="1" ht="12">
      <c r="A179" s="134" t="s">
        <v>454</v>
      </c>
      <c r="B179" s="135">
        <v>42978</v>
      </c>
      <c r="C179" s="151" t="s">
        <v>455</v>
      </c>
      <c r="D179" s="152">
        <v>2316.21</v>
      </c>
      <c r="K179" s="135">
        <v>43004</v>
      </c>
      <c r="L179" s="135"/>
      <c r="M179" s="135">
        <f t="shared" si="29"/>
        <v>43007</v>
      </c>
      <c r="N179" s="135">
        <v>43007</v>
      </c>
      <c r="O179" s="141">
        <f t="shared" si="30"/>
        <v>3</v>
      </c>
      <c r="P179" s="141">
        <f t="shared" si="31"/>
        <v>0</v>
      </c>
      <c r="Q179" s="141">
        <f t="shared" si="32"/>
        <v>3</v>
      </c>
      <c r="R179" s="141">
        <f t="shared" si="33"/>
        <v>-27</v>
      </c>
      <c r="S179" s="140">
        <v>29</v>
      </c>
      <c r="T179" s="142">
        <f t="shared" si="34"/>
        <v>0</v>
      </c>
      <c r="U179" s="142">
        <f t="shared" si="35"/>
        <v>-62537.67</v>
      </c>
      <c r="V179" s="140">
        <f t="shared" si="36"/>
        <v>129</v>
      </c>
      <c r="Y179" s="142"/>
    </row>
    <row r="180" spans="1:25" s="138" customFormat="1" ht="12">
      <c r="A180" s="134" t="s">
        <v>456</v>
      </c>
      <c r="B180" s="135">
        <v>42993</v>
      </c>
      <c r="C180" s="151" t="s">
        <v>457</v>
      </c>
      <c r="D180" s="152">
        <v>230.66</v>
      </c>
      <c r="K180" s="135">
        <v>43004</v>
      </c>
      <c r="L180" s="135"/>
      <c r="M180" s="135">
        <f t="shared" si="29"/>
        <v>43007</v>
      </c>
      <c r="N180" s="135">
        <v>43007</v>
      </c>
      <c r="O180" s="141">
        <f t="shared" si="30"/>
        <v>3</v>
      </c>
      <c r="P180" s="141">
        <f t="shared" si="31"/>
        <v>0</v>
      </c>
      <c r="Q180" s="141">
        <f t="shared" si="32"/>
        <v>3</v>
      </c>
      <c r="R180" s="141">
        <f t="shared" si="33"/>
        <v>-27</v>
      </c>
      <c r="S180" s="140">
        <v>29</v>
      </c>
      <c r="T180" s="142">
        <f t="shared" si="34"/>
        <v>0</v>
      </c>
      <c r="U180" s="142">
        <f t="shared" si="35"/>
        <v>-6227.82</v>
      </c>
      <c r="V180" s="140">
        <f t="shared" si="36"/>
        <v>129</v>
      </c>
      <c r="Y180" s="142"/>
    </row>
    <row r="181" spans="1:25" s="138" customFormat="1" ht="12">
      <c r="A181" s="134" t="s">
        <v>458</v>
      </c>
      <c r="B181" s="135">
        <v>42977</v>
      </c>
      <c r="C181" s="151" t="s">
        <v>459</v>
      </c>
      <c r="D181" s="152">
        <v>563.44</v>
      </c>
      <c r="K181" s="135">
        <f>M181</f>
        <v>42996</v>
      </c>
      <c r="L181" s="135"/>
      <c r="M181" s="135">
        <f t="shared" si="29"/>
        <v>42996</v>
      </c>
      <c r="N181" s="135">
        <v>42996</v>
      </c>
      <c r="O181" s="141">
        <f t="shared" si="30"/>
        <v>0</v>
      </c>
      <c r="P181" s="141">
        <f t="shared" si="31"/>
        <v>0</v>
      </c>
      <c r="Q181" s="141">
        <f t="shared" si="32"/>
        <v>0</v>
      </c>
      <c r="R181" s="141">
        <f t="shared" si="33"/>
        <v>-30</v>
      </c>
      <c r="S181" s="140">
        <v>29</v>
      </c>
      <c r="T181" s="142">
        <f t="shared" si="34"/>
        <v>0</v>
      </c>
      <c r="U181" s="142">
        <f t="shared" si="35"/>
        <v>-16903.2</v>
      </c>
      <c r="V181" s="140">
        <f t="shared" si="36"/>
        <v>129</v>
      </c>
      <c r="Y181" s="142"/>
    </row>
    <row r="182" spans="1:25" s="138" customFormat="1" ht="12">
      <c r="A182" s="134" t="s">
        <v>460</v>
      </c>
      <c r="B182" s="135">
        <v>42977</v>
      </c>
      <c r="C182" s="151" t="s">
        <v>461</v>
      </c>
      <c r="D182" s="152">
        <v>271.28</v>
      </c>
      <c r="K182" s="135">
        <f>M182</f>
        <v>42996</v>
      </c>
      <c r="L182" s="135"/>
      <c r="M182" s="135">
        <f t="shared" si="29"/>
        <v>42996</v>
      </c>
      <c r="N182" s="135">
        <v>42996</v>
      </c>
      <c r="O182" s="141">
        <f t="shared" si="30"/>
        <v>0</v>
      </c>
      <c r="P182" s="141">
        <f t="shared" si="31"/>
        <v>0</v>
      </c>
      <c r="Q182" s="141">
        <f t="shared" si="32"/>
        <v>0</v>
      </c>
      <c r="R182" s="141">
        <f t="shared" si="33"/>
        <v>-30</v>
      </c>
      <c r="S182" s="140">
        <v>29</v>
      </c>
      <c r="T182" s="142">
        <f t="shared" si="34"/>
        <v>0</v>
      </c>
      <c r="U182" s="142">
        <f t="shared" si="35"/>
        <v>-8138.4</v>
      </c>
      <c r="V182" s="140">
        <f t="shared" si="36"/>
        <v>129</v>
      </c>
      <c r="Y182" s="142"/>
    </row>
    <row r="183" spans="1:25" s="138" customFormat="1" ht="12">
      <c r="A183" s="134" t="s">
        <v>462</v>
      </c>
      <c r="B183" s="135">
        <v>42977</v>
      </c>
      <c r="C183" s="151" t="s">
        <v>463</v>
      </c>
      <c r="D183" s="152">
        <v>342.2</v>
      </c>
      <c r="K183" s="135">
        <f>M183</f>
        <v>42996</v>
      </c>
      <c r="L183" s="135"/>
      <c r="M183" s="135">
        <f t="shared" si="29"/>
        <v>42996</v>
      </c>
      <c r="N183" s="135">
        <v>42996</v>
      </c>
      <c r="O183" s="141">
        <f t="shared" si="30"/>
        <v>0</v>
      </c>
      <c r="P183" s="141">
        <f t="shared" si="31"/>
        <v>0</v>
      </c>
      <c r="Q183" s="141">
        <f t="shared" si="32"/>
        <v>0</v>
      </c>
      <c r="R183" s="141">
        <f t="shared" si="33"/>
        <v>-30</v>
      </c>
      <c r="S183" s="140">
        <v>29</v>
      </c>
      <c r="T183" s="142">
        <f t="shared" si="34"/>
        <v>0</v>
      </c>
      <c r="U183" s="142">
        <f t="shared" si="35"/>
        <v>-10266</v>
      </c>
      <c r="V183" s="140">
        <f t="shared" si="36"/>
        <v>129</v>
      </c>
      <c r="Y183" s="142"/>
    </row>
    <row r="184" spans="1:25" s="138" customFormat="1" ht="12">
      <c r="A184" s="134" t="s">
        <v>464</v>
      </c>
      <c r="B184" s="135">
        <v>42917</v>
      </c>
      <c r="C184" s="151" t="s">
        <v>465</v>
      </c>
      <c r="D184" s="152">
        <v>677.6</v>
      </c>
      <c r="K184" s="135">
        <v>43005</v>
      </c>
      <c r="L184" s="135"/>
      <c r="M184" s="135">
        <f t="shared" si="29"/>
        <v>43006</v>
      </c>
      <c r="N184" s="135">
        <v>43006</v>
      </c>
      <c r="O184" s="141">
        <f t="shared" si="30"/>
        <v>1</v>
      </c>
      <c r="P184" s="141">
        <f t="shared" si="31"/>
        <v>0</v>
      </c>
      <c r="Q184" s="141">
        <f t="shared" si="32"/>
        <v>1</v>
      </c>
      <c r="R184" s="141">
        <f t="shared" si="33"/>
        <v>-29</v>
      </c>
      <c r="S184" s="140">
        <v>20</v>
      </c>
      <c r="T184" s="142">
        <f t="shared" si="34"/>
        <v>0</v>
      </c>
      <c r="U184" s="142">
        <f t="shared" si="35"/>
        <v>-19650.4</v>
      </c>
      <c r="V184" s="140">
        <f t="shared" si="36"/>
        <v>120</v>
      </c>
      <c r="Y184" s="142"/>
    </row>
    <row r="185" spans="1:25" s="138" customFormat="1" ht="12">
      <c r="A185" s="134" t="s">
        <v>466</v>
      </c>
      <c r="B185" s="135">
        <v>42955</v>
      </c>
      <c r="C185" s="151" t="s">
        <v>467</v>
      </c>
      <c r="D185" s="152">
        <v>3926.45</v>
      </c>
      <c r="K185" s="135">
        <v>43005</v>
      </c>
      <c r="L185" s="135"/>
      <c r="M185" s="135">
        <f t="shared" si="29"/>
        <v>43006</v>
      </c>
      <c r="N185" s="135">
        <v>43006</v>
      </c>
      <c r="O185" s="141">
        <f t="shared" si="30"/>
        <v>1</v>
      </c>
      <c r="P185" s="141">
        <f t="shared" si="31"/>
        <v>0</v>
      </c>
      <c r="Q185" s="141">
        <f t="shared" si="32"/>
        <v>1</v>
      </c>
      <c r="R185" s="141">
        <f t="shared" si="33"/>
        <v>-29</v>
      </c>
      <c r="S185" s="140">
        <v>29</v>
      </c>
      <c r="T185" s="142">
        <f t="shared" si="34"/>
        <v>0</v>
      </c>
      <c r="U185" s="142">
        <f t="shared" si="35"/>
        <v>-113867.04999999999</v>
      </c>
      <c r="V185" s="140">
        <f t="shared" si="36"/>
        <v>129</v>
      </c>
      <c r="Y185" s="142"/>
    </row>
    <row r="186" spans="1:25" s="138" customFormat="1" ht="12">
      <c r="A186" s="134" t="s">
        <v>468</v>
      </c>
      <c r="B186" s="135">
        <v>42947</v>
      </c>
      <c r="C186" s="151" t="s">
        <v>469</v>
      </c>
      <c r="D186" s="152">
        <v>3074.61</v>
      </c>
      <c r="K186" s="135">
        <v>43006</v>
      </c>
      <c r="L186" s="135"/>
      <c r="M186" s="135">
        <f t="shared" si="29"/>
        <v>43006</v>
      </c>
      <c r="N186" s="135">
        <v>43006</v>
      </c>
      <c r="O186" s="141">
        <f t="shared" si="30"/>
        <v>0</v>
      </c>
      <c r="P186" s="141">
        <f t="shared" si="31"/>
        <v>0</v>
      </c>
      <c r="Q186" s="141">
        <f t="shared" si="32"/>
        <v>0</v>
      </c>
      <c r="R186" s="141">
        <f t="shared" si="33"/>
        <v>-30</v>
      </c>
      <c r="S186" s="140">
        <v>29</v>
      </c>
      <c r="T186" s="142">
        <f t="shared" si="34"/>
        <v>0</v>
      </c>
      <c r="U186" s="142">
        <f t="shared" si="35"/>
        <v>-92238.3</v>
      </c>
      <c r="V186" s="140">
        <f t="shared" si="36"/>
        <v>129</v>
      </c>
      <c r="Y186" s="142"/>
    </row>
    <row r="187" spans="1:25" s="138" customFormat="1" ht="12">
      <c r="A187" s="134" t="s">
        <v>470</v>
      </c>
      <c r="B187" s="135">
        <v>42999</v>
      </c>
      <c r="C187" s="151" t="s">
        <v>471</v>
      </c>
      <c r="D187" s="152">
        <v>354.25</v>
      </c>
      <c r="K187" s="135">
        <f aca="true" t="shared" si="37" ref="K187:K198">M187</f>
        <v>42998</v>
      </c>
      <c r="L187" s="135"/>
      <c r="M187" s="135">
        <f t="shared" si="29"/>
        <v>42998</v>
      </c>
      <c r="N187" s="135">
        <v>42998</v>
      </c>
      <c r="O187" s="141">
        <f t="shared" si="30"/>
        <v>0</v>
      </c>
      <c r="P187" s="141">
        <f t="shared" si="31"/>
        <v>0</v>
      </c>
      <c r="Q187" s="141">
        <f t="shared" si="32"/>
        <v>0</v>
      </c>
      <c r="R187" s="141">
        <f t="shared" si="33"/>
        <v>-30</v>
      </c>
      <c r="S187" s="140">
        <v>69</v>
      </c>
      <c r="T187" s="142">
        <f t="shared" si="34"/>
        <v>0</v>
      </c>
      <c r="U187" s="142">
        <f t="shared" si="35"/>
        <v>-10627.5</v>
      </c>
      <c r="V187" s="140">
        <f t="shared" si="36"/>
        <v>169</v>
      </c>
      <c r="Y187" s="142"/>
    </row>
    <row r="188" spans="1:25" s="138" customFormat="1" ht="12">
      <c r="A188" s="134" t="s">
        <v>472</v>
      </c>
      <c r="B188" s="135">
        <v>42947</v>
      </c>
      <c r="C188" s="151" t="s">
        <v>473</v>
      </c>
      <c r="D188" s="152">
        <v>21.39</v>
      </c>
      <c r="K188" s="135">
        <f t="shared" si="37"/>
        <v>42979</v>
      </c>
      <c r="L188" s="135"/>
      <c r="M188" s="135">
        <f t="shared" si="29"/>
        <v>42979</v>
      </c>
      <c r="N188" s="135">
        <v>42979</v>
      </c>
      <c r="O188" s="141">
        <f t="shared" si="30"/>
        <v>0</v>
      </c>
      <c r="P188" s="141">
        <f t="shared" si="31"/>
        <v>0</v>
      </c>
      <c r="Q188" s="141">
        <f t="shared" si="32"/>
        <v>0</v>
      </c>
      <c r="R188" s="141">
        <f t="shared" si="33"/>
        <v>-30</v>
      </c>
      <c r="S188" s="140">
        <v>29</v>
      </c>
      <c r="T188" s="142">
        <f t="shared" si="34"/>
        <v>0</v>
      </c>
      <c r="U188" s="142">
        <f t="shared" si="35"/>
        <v>-641.7</v>
      </c>
      <c r="V188" s="140">
        <f t="shared" si="36"/>
        <v>129</v>
      </c>
      <c r="Y188" s="142"/>
    </row>
    <row r="189" spans="1:25" s="138" customFormat="1" ht="12">
      <c r="A189" s="134" t="s">
        <v>474</v>
      </c>
      <c r="B189" s="135">
        <v>42992</v>
      </c>
      <c r="C189" s="151" t="s">
        <v>475</v>
      </c>
      <c r="D189" s="152">
        <v>459.8</v>
      </c>
      <c r="K189" s="135">
        <f t="shared" si="37"/>
        <v>43006</v>
      </c>
      <c r="L189" s="135"/>
      <c r="M189" s="135">
        <f t="shared" si="29"/>
        <v>43006</v>
      </c>
      <c r="N189" s="135">
        <v>43006</v>
      </c>
      <c r="O189" s="141">
        <f t="shared" si="30"/>
        <v>0</v>
      </c>
      <c r="P189" s="141">
        <f t="shared" si="31"/>
        <v>0</v>
      </c>
      <c r="Q189" s="141">
        <f t="shared" si="32"/>
        <v>0</v>
      </c>
      <c r="R189" s="141">
        <f t="shared" si="33"/>
        <v>-30</v>
      </c>
      <c r="S189" s="140">
        <v>29</v>
      </c>
      <c r="T189" s="142">
        <f t="shared" si="34"/>
        <v>0</v>
      </c>
      <c r="U189" s="142">
        <f t="shared" si="35"/>
        <v>-13794</v>
      </c>
      <c r="V189" s="140">
        <f t="shared" si="36"/>
        <v>129</v>
      </c>
      <c r="Y189" s="142"/>
    </row>
    <row r="190" spans="1:25" s="138" customFormat="1" ht="12">
      <c r="A190" s="134" t="s">
        <v>476</v>
      </c>
      <c r="B190" s="135">
        <v>42978</v>
      </c>
      <c r="C190" s="151" t="s">
        <v>477</v>
      </c>
      <c r="D190" s="152">
        <v>152</v>
      </c>
      <c r="K190" s="135">
        <f t="shared" si="37"/>
        <v>42976</v>
      </c>
      <c r="L190" s="135"/>
      <c r="M190" s="135">
        <f t="shared" si="29"/>
        <v>42976</v>
      </c>
      <c r="N190" s="135">
        <v>42976</v>
      </c>
      <c r="O190" s="141">
        <f t="shared" si="30"/>
        <v>0</v>
      </c>
      <c r="P190" s="141">
        <f t="shared" si="31"/>
        <v>0</v>
      </c>
      <c r="Q190" s="141">
        <f t="shared" si="32"/>
        <v>0</v>
      </c>
      <c r="R190" s="141">
        <f t="shared" si="33"/>
        <v>-30</v>
      </c>
      <c r="S190" s="138">
        <v>29</v>
      </c>
      <c r="T190" s="142">
        <f t="shared" si="34"/>
        <v>0</v>
      </c>
      <c r="U190" s="142">
        <f t="shared" si="35"/>
        <v>-4560</v>
      </c>
      <c r="V190" s="140">
        <f t="shared" si="36"/>
        <v>129</v>
      </c>
      <c r="Y190" s="142"/>
    </row>
    <row r="191" spans="1:25" s="138" customFormat="1" ht="12">
      <c r="A191" s="134" t="s">
        <v>478</v>
      </c>
      <c r="B191" s="135">
        <v>42947</v>
      </c>
      <c r="C191" s="151" t="s">
        <v>479</v>
      </c>
      <c r="D191" s="152">
        <v>735.68</v>
      </c>
      <c r="K191" s="135">
        <f t="shared" si="37"/>
        <v>42977</v>
      </c>
      <c r="L191" s="135"/>
      <c r="M191" s="135">
        <f t="shared" si="29"/>
        <v>42977</v>
      </c>
      <c r="N191" s="135">
        <v>42977</v>
      </c>
      <c r="O191" s="141">
        <f t="shared" si="30"/>
        <v>0</v>
      </c>
      <c r="P191" s="141">
        <f t="shared" si="31"/>
        <v>0</v>
      </c>
      <c r="Q191" s="141">
        <f t="shared" si="32"/>
        <v>0</v>
      </c>
      <c r="R191" s="141">
        <f t="shared" si="33"/>
        <v>-30</v>
      </c>
      <c r="S191" s="138">
        <v>21</v>
      </c>
      <c r="T191" s="142">
        <f t="shared" si="34"/>
        <v>0</v>
      </c>
      <c r="U191" s="142">
        <f t="shared" si="35"/>
        <v>-22070.399999999998</v>
      </c>
      <c r="V191" s="140">
        <f t="shared" si="36"/>
        <v>121</v>
      </c>
      <c r="Y191" s="142"/>
    </row>
    <row r="192" spans="1:25" s="138" customFormat="1" ht="12">
      <c r="A192" s="134" t="s">
        <v>480</v>
      </c>
      <c r="B192" s="135">
        <v>42978</v>
      </c>
      <c r="C192" s="151" t="s">
        <v>481</v>
      </c>
      <c r="D192" s="152">
        <v>340.64</v>
      </c>
      <c r="K192" s="135">
        <f t="shared" si="37"/>
        <v>43003</v>
      </c>
      <c r="L192" s="135"/>
      <c r="M192" s="135">
        <f t="shared" si="29"/>
        <v>43003</v>
      </c>
      <c r="N192" s="135">
        <v>43003</v>
      </c>
      <c r="O192" s="141">
        <f t="shared" si="30"/>
        <v>0</v>
      </c>
      <c r="P192" s="141">
        <f t="shared" si="31"/>
        <v>0</v>
      </c>
      <c r="Q192" s="141">
        <f t="shared" si="32"/>
        <v>0</v>
      </c>
      <c r="R192" s="141">
        <f t="shared" si="33"/>
        <v>-30</v>
      </c>
      <c r="S192" s="138">
        <v>21</v>
      </c>
      <c r="T192" s="142">
        <f t="shared" si="34"/>
        <v>0</v>
      </c>
      <c r="U192" s="142">
        <f t="shared" si="35"/>
        <v>-10219.199999999999</v>
      </c>
      <c r="V192" s="140">
        <f t="shared" si="36"/>
        <v>121</v>
      </c>
      <c r="Y192" s="142"/>
    </row>
    <row r="193" spans="1:25" s="138" customFormat="1" ht="12">
      <c r="A193" s="134" t="s">
        <v>482</v>
      </c>
      <c r="B193" s="135">
        <v>43001</v>
      </c>
      <c r="C193" s="151" t="s">
        <v>483</v>
      </c>
      <c r="D193" s="152">
        <v>710.01</v>
      </c>
      <c r="K193" s="135">
        <f t="shared" si="37"/>
        <v>43006</v>
      </c>
      <c r="L193" s="135"/>
      <c r="M193" s="135">
        <f t="shared" si="29"/>
        <v>43006</v>
      </c>
      <c r="N193" s="135">
        <v>43006</v>
      </c>
      <c r="O193" s="141">
        <f t="shared" si="30"/>
        <v>0</v>
      </c>
      <c r="P193" s="141">
        <f t="shared" si="31"/>
        <v>0</v>
      </c>
      <c r="Q193" s="141">
        <f t="shared" si="32"/>
        <v>0</v>
      </c>
      <c r="R193" s="141">
        <f t="shared" si="33"/>
        <v>-30</v>
      </c>
      <c r="S193" s="138">
        <v>29</v>
      </c>
      <c r="T193" s="142">
        <f t="shared" si="34"/>
        <v>0</v>
      </c>
      <c r="U193" s="142">
        <f t="shared" si="35"/>
        <v>-21300.3</v>
      </c>
      <c r="V193" s="140">
        <f t="shared" si="36"/>
        <v>129</v>
      </c>
      <c r="Y193" s="142"/>
    </row>
    <row r="194" spans="1:25" s="138" customFormat="1" ht="12">
      <c r="A194" s="134" t="s">
        <v>484</v>
      </c>
      <c r="B194" s="135">
        <v>43001</v>
      </c>
      <c r="C194" s="151" t="s">
        <v>485</v>
      </c>
      <c r="D194" s="152">
        <v>1106.02</v>
      </c>
      <c r="K194" s="135">
        <f t="shared" si="37"/>
        <v>43006</v>
      </c>
      <c r="L194" s="135"/>
      <c r="M194" s="135">
        <f t="shared" si="29"/>
        <v>43006</v>
      </c>
      <c r="N194" s="135">
        <v>43006</v>
      </c>
      <c r="O194" s="141">
        <f t="shared" si="30"/>
        <v>0</v>
      </c>
      <c r="P194" s="141">
        <f t="shared" si="31"/>
        <v>0</v>
      </c>
      <c r="Q194" s="141">
        <f t="shared" si="32"/>
        <v>0</v>
      </c>
      <c r="R194" s="141">
        <f t="shared" si="33"/>
        <v>-30</v>
      </c>
      <c r="S194" s="138">
        <v>29</v>
      </c>
      <c r="T194" s="142">
        <f t="shared" si="34"/>
        <v>0</v>
      </c>
      <c r="U194" s="142">
        <f t="shared" si="35"/>
        <v>-33180.6</v>
      </c>
      <c r="V194" s="140">
        <f t="shared" si="36"/>
        <v>129</v>
      </c>
      <c r="Y194" s="142"/>
    </row>
    <row r="195" spans="1:25" s="138" customFormat="1" ht="12">
      <c r="A195" s="134" t="s">
        <v>486</v>
      </c>
      <c r="B195" s="135">
        <v>43001</v>
      </c>
      <c r="C195" s="151" t="s">
        <v>487</v>
      </c>
      <c r="D195" s="152">
        <v>75.07</v>
      </c>
      <c r="K195" s="135">
        <f t="shared" si="37"/>
        <v>43006</v>
      </c>
      <c r="L195" s="135"/>
      <c r="M195" s="135">
        <f t="shared" si="29"/>
        <v>43006</v>
      </c>
      <c r="N195" s="135">
        <v>43006</v>
      </c>
      <c r="O195" s="141">
        <f t="shared" si="30"/>
        <v>0</v>
      </c>
      <c r="P195" s="141">
        <f t="shared" si="31"/>
        <v>0</v>
      </c>
      <c r="Q195" s="141">
        <f t="shared" si="32"/>
        <v>0</v>
      </c>
      <c r="R195" s="141">
        <f t="shared" si="33"/>
        <v>-30</v>
      </c>
      <c r="S195" s="138">
        <v>29</v>
      </c>
      <c r="T195" s="142">
        <f t="shared" si="34"/>
        <v>0</v>
      </c>
      <c r="U195" s="142">
        <f t="shared" si="35"/>
        <v>-2252.1</v>
      </c>
      <c r="V195" s="140">
        <f t="shared" si="36"/>
        <v>129</v>
      </c>
      <c r="Y195" s="142"/>
    </row>
    <row r="196" spans="1:25" s="138" customFormat="1" ht="12">
      <c r="A196" s="134" t="s">
        <v>488</v>
      </c>
      <c r="B196" s="135">
        <v>43001</v>
      </c>
      <c r="C196" s="151" t="s">
        <v>489</v>
      </c>
      <c r="D196" s="152">
        <v>72.65</v>
      </c>
      <c r="K196" s="135">
        <f t="shared" si="37"/>
        <v>43006</v>
      </c>
      <c r="L196" s="135"/>
      <c r="M196" s="135">
        <f t="shared" si="29"/>
        <v>43006</v>
      </c>
      <c r="N196" s="135">
        <v>43006</v>
      </c>
      <c r="O196" s="141">
        <f t="shared" si="30"/>
        <v>0</v>
      </c>
      <c r="P196" s="141">
        <f t="shared" si="31"/>
        <v>0</v>
      </c>
      <c r="Q196" s="141">
        <f t="shared" si="32"/>
        <v>0</v>
      </c>
      <c r="R196" s="141">
        <f t="shared" si="33"/>
        <v>-30</v>
      </c>
      <c r="S196" s="138">
        <v>29</v>
      </c>
      <c r="T196" s="142">
        <f t="shared" si="34"/>
        <v>0</v>
      </c>
      <c r="U196" s="142">
        <f t="shared" si="35"/>
        <v>-2179.5</v>
      </c>
      <c r="V196" s="140">
        <f t="shared" si="36"/>
        <v>129</v>
      </c>
      <c r="Y196" s="142"/>
    </row>
    <row r="197" spans="1:25" s="138" customFormat="1" ht="12">
      <c r="A197" s="134" t="s">
        <v>490</v>
      </c>
      <c r="B197" s="135">
        <v>43008</v>
      </c>
      <c r="C197" s="151" t="s">
        <v>491</v>
      </c>
      <c r="D197" s="152">
        <v>151.96</v>
      </c>
      <c r="K197" s="135">
        <f t="shared" si="37"/>
        <v>43005</v>
      </c>
      <c r="L197" s="135"/>
      <c r="M197" s="135">
        <f t="shared" si="29"/>
        <v>43005</v>
      </c>
      <c r="N197" s="135">
        <v>43005</v>
      </c>
      <c r="O197" s="141">
        <f t="shared" si="30"/>
        <v>0</v>
      </c>
      <c r="P197" s="141">
        <f t="shared" si="31"/>
        <v>0</v>
      </c>
      <c r="Q197" s="141">
        <f t="shared" si="32"/>
        <v>0</v>
      </c>
      <c r="R197" s="141">
        <f t="shared" si="33"/>
        <v>-30</v>
      </c>
      <c r="S197" s="138">
        <v>29</v>
      </c>
      <c r="T197" s="142">
        <f t="shared" si="34"/>
        <v>0</v>
      </c>
      <c r="U197" s="142">
        <f t="shared" si="35"/>
        <v>-4558.8</v>
      </c>
      <c r="V197" s="140">
        <f t="shared" si="36"/>
        <v>129</v>
      </c>
      <c r="Y197" s="142"/>
    </row>
    <row r="198" spans="1:25" s="138" customFormat="1" ht="12">
      <c r="A198" s="134" t="s">
        <v>492</v>
      </c>
      <c r="B198" s="135">
        <v>42965</v>
      </c>
      <c r="C198" s="151" t="s">
        <v>493</v>
      </c>
      <c r="D198" s="152">
        <v>176</v>
      </c>
      <c r="K198" s="135">
        <f t="shared" si="37"/>
        <v>43007</v>
      </c>
      <c r="L198" s="135"/>
      <c r="M198" s="135">
        <f t="shared" si="29"/>
        <v>43007</v>
      </c>
      <c r="N198" s="135">
        <v>43007</v>
      </c>
      <c r="O198" s="141">
        <f t="shared" si="30"/>
        <v>0</v>
      </c>
      <c r="P198" s="141">
        <f t="shared" si="31"/>
        <v>0</v>
      </c>
      <c r="Q198" s="141">
        <f t="shared" si="32"/>
        <v>0</v>
      </c>
      <c r="R198" s="141">
        <f t="shared" si="33"/>
        <v>-30</v>
      </c>
      <c r="S198" s="138">
        <v>29</v>
      </c>
      <c r="T198" s="142">
        <f t="shared" si="34"/>
        <v>0</v>
      </c>
      <c r="U198" s="142">
        <f t="shared" si="35"/>
        <v>-5280</v>
      </c>
      <c r="V198" s="140">
        <f t="shared" si="36"/>
        <v>129</v>
      </c>
      <c r="Y198" s="142"/>
    </row>
    <row r="199" spans="1:25" s="138" customFormat="1" ht="12">
      <c r="A199" s="134" t="s">
        <v>494</v>
      </c>
      <c r="B199" s="135">
        <v>43001</v>
      </c>
      <c r="C199" s="151" t="s">
        <v>495</v>
      </c>
      <c r="D199" s="152">
        <v>418.25</v>
      </c>
      <c r="K199" s="135">
        <v>43006</v>
      </c>
      <c r="L199" s="135"/>
      <c r="M199" s="135">
        <f t="shared" si="29"/>
        <v>43006</v>
      </c>
      <c r="N199" s="135">
        <v>43006</v>
      </c>
      <c r="O199" s="141">
        <f t="shared" si="30"/>
        <v>0</v>
      </c>
      <c r="P199" s="141">
        <f t="shared" si="31"/>
        <v>0</v>
      </c>
      <c r="Q199" s="141">
        <f t="shared" si="32"/>
        <v>0</v>
      </c>
      <c r="R199" s="141">
        <f t="shared" si="33"/>
        <v>-30</v>
      </c>
      <c r="S199" s="138">
        <v>29</v>
      </c>
      <c r="T199" s="142">
        <f t="shared" si="34"/>
        <v>0</v>
      </c>
      <c r="U199" s="142">
        <f t="shared" si="35"/>
        <v>-12547.5</v>
      </c>
      <c r="V199" s="140">
        <f t="shared" si="36"/>
        <v>129</v>
      </c>
      <c r="Y199" s="142"/>
    </row>
    <row r="200" spans="1:25" s="138" customFormat="1" ht="12">
      <c r="A200" s="134"/>
      <c r="B200" s="135"/>
      <c r="C200" s="143"/>
      <c r="D200" s="144"/>
      <c r="K200" s="135"/>
      <c r="L200" s="135"/>
      <c r="M200" s="135"/>
      <c r="N200" s="135"/>
      <c r="O200" s="141"/>
      <c r="P200" s="141"/>
      <c r="Q200" s="141"/>
      <c r="R200" s="141"/>
      <c r="T200" s="142"/>
      <c r="U200" s="142"/>
      <c r="V200" s="140"/>
      <c r="Y200" s="142"/>
    </row>
    <row r="201" spans="1:25" s="138" customFormat="1" ht="12">
      <c r="A201" s="134"/>
      <c r="B201" s="135"/>
      <c r="C201" s="143"/>
      <c r="D201" s="144"/>
      <c r="K201" s="135"/>
      <c r="L201" s="135"/>
      <c r="M201" s="135"/>
      <c r="N201" s="135"/>
      <c r="O201" s="141"/>
      <c r="P201" s="141"/>
      <c r="Q201" s="141"/>
      <c r="R201" s="141"/>
      <c r="T201" s="142"/>
      <c r="U201" s="142"/>
      <c r="V201" s="140"/>
      <c r="Y201" s="142"/>
    </row>
    <row r="202" spans="1:25" s="138" customFormat="1" ht="12">
      <c r="A202" s="134"/>
      <c r="B202" s="135"/>
      <c r="C202" s="143"/>
      <c r="D202" s="144"/>
      <c r="K202" s="135"/>
      <c r="L202" s="135"/>
      <c r="M202" s="135"/>
      <c r="N202" s="135"/>
      <c r="O202" s="141"/>
      <c r="P202" s="141"/>
      <c r="Q202" s="141"/>
      <c r="R202" s="141"/>
      <c r="T202" s="142"/>
      <c r="U202" s="142"/>
      <c r="V202" s="140"/>
      <c r="Y202" s="142"/>
    </row>
    <row r="203" spans="1:25" s="138" customFormat="1" ht="12">
      <c r="A203" s="134"/>
      <c r="B203" s="135"/>
      <c r="C203" s="136"/>
      <c r="D203" s="137"/>
      <c r="K203" s="135"/>
      <c r="L203" s="135"/>
      <c r="M203" s="135"/>
      <c r="N203" s="135"/>
      <c r="O203" s="141"/>
      <c r="P203" s="141"/>
      <c r="Q203" s="141"/>
      <c r="R203" s="141"/>
      <c r="T203" s="142"/>
      <c r="U203" s="142"/>
      <c r="V203" s="140"/>
      <c r="Y203" s="142"/>
    </row>
    <row r="204" spans="1:25" s="138" customFormat="1" ht="12">
      <c r="A204" s="134"/>
      <c r="B204" s="135"/>
      <c r="C204" s="143"/>
      <c r="D204" s="144"/>
      <c r="K204" s="135"/>
      <c r="L204" s="135"/>
      <c r="M204" s="135"/>
      <c r="N204" s="135"/>
      <c r="O204" s="141"/>
      <c r="P204" s="141"/>
      <c r="Q204" s="141"/>
      <c r="R204" s="141"/>
      <c r="T204" s="142"/>
      <c r="U204" s="142"/>
      <c r="V204" s="140"/>
      <c r="Y204" s="142"/>
    </row>
    <row r="205" spans="1:25" s="138" customFormat="1" ht="12">
      <c r="A205" s="134"/>
      <c r="B205" s="135"/>
      <c r="C205" s="143"/>
      <c r="D205" s="144"/>
      <c r="K205" s="135"/>
      <c r="L205" s="135"/>
      <c r="M205" s="135"/>
      <c r="N205" s="135"/>
      <c r="O205" s="141"/>
      <c r="P205" s="141"/>
      <c r="Q205" s="141"/>
      <c r="R205" s="141"/>
      <c r="T205" s="142"/>
      <c r="U205" s="142"/>
      <c r="V205" s="140"/>
      <c r="Y205" s="142"/>
    </row>
    <row r="206" spans="1:25" s="138" customFormat="1" ht="12">
      <c r="A206" s="134"/>
      <c r="B206" s="135"/>
      <c r="C206" s="134"/>
      <c r="D206" s="150"/>
      <c r="K206" s="135"/>
      <c r="L206" s="135"/>
      <c r="M206" s="135"/>
      <c r="N206" s="135"/>
      <c r="O206" s="141"/>
      <c r="P206" s="141"/>
      <c r="Q206" s="141"/>
      <c r="R206" s="141"/>
      <c r="T206" s="142"/>
      <c r="U206" s="142"/>
      <c r="V206" s="140"/>
      <c r="Y206" s="142"/>
    </row>
    <row r="207" spans="1:25" s="138" customFormat="1" ht="12">
      <c r="A207" s="134"/>
      <c r="B207" s="135"/>
      <c r="C207" s="134"/>
      <c r="D207" s="150"/>
      <c r="K207" s="135"/>
      <c r="L207" s="135"/>
      <c r="M207" s="135"/>
      <c r="N207" s="135"/>
      <c r="O207" s="141"/>
      <c r="P207" s="141"/>
      <c r="Q207" s="141"/>
      <c r="R207" s="141"/>
      <c r="T207" s="142"/>
      <c r="U207" s="142"/>
      <c r="V207" s="140"/>
      <c r="Y207" s="142"/>
    </row>
    <row r="208" spans="1:25" s="138" customFormat="1" ht="12">
      <c r="A208" s="151"/>
      <c r="B208" s="135"/>
      <c r="C208" s="151"/>
      <c r="D208" s="152"/>
      <c r="K208" s="135"/>
      <c r="L208" s="135"/>
      <c r="M208" s="135"/>
      <c r="N208" s="135"/>
      <c r="O208" s="141"/>
      <c r="P208" s="141"/>
      <c r="Q208" s="141"/>
      <c r="R208" s="141"/>
      <c r="T208" s="142"/>
      <c r="U208" s="142"/>
      <c r="V208" s="140"/>
      <c r="Y208" s="142"/>
    </row>
    <row r="209" spans="1:25" s="138" customFormat="1" ht="12">
      <c r="A209" s="151"/>
      <c r="B209" s="135"/>
      <c r="C209" s="151"/>
      <c r="D209" s="152"/>
      <c r="K209" s="135"/>
      <c r="L209" s="135"/>
      <c r="M209" s="135"/>
      <c r="N209" s="135"/>
      <c r="O209" s="141"/>
      <c r="P209" s="141"/>
      <c r="Q209" s="141"/>
      <c r="R209" s="141"/>
      <c r="T209" s="142"/>
      <c r="U209" s="142"/>
      <c r="V209" s="140"/>
      <c r="Y209" s="142"/>
    </row>
    <row r="210" spans="1:25" s="138" customFormat="1" ht="12">
      <c r="A210" s="151"/>
      <c r="B210" s="135"/>
      <c r="C210" s="151"/>
      <c r="D210" s="152"/>
      <c r="K210" s="135"/>
      <c r="L210" s="135"/>
      <c r="M210" s="135"/>
      <c r="N210" s="135"/>
      <c r="O210" s="141"/>
      <c r="P210" s="141"/>
      <c r="Q210" s="141"/>
      <c r="R210" s="141"/>
      <c r="T210" s="142"/>
      <c r="U210" s="142"/>
      <c r="V210" s="140"/>
      <c r="Y210" s="142"/>
    </row>
    <row r="211" spans="1:25" s="138" customFormat="1" ht="12">
      <c r="A211" s="151"/>
      <c r="B211" s="135"/>
      <c r="C211" s="151"/>
      <c r="D211" s="152"/>
      <c r="K211" s="135"/>
      <c r="L211" s="135"/>
      <c r="M211" s="135"/>
      <c r="N211" s="135"/>
      <c r="O211" s="141"/>
      <c r="P211" s="141"/>
      <c r="Q211" s="141"/>
      <c r="R211" s="141"/>
      <c r="T211" s="142"/>
      <c r="U211" s="142"/>
      <c r="V211" s="140"/>
      <c r="Y211" s="142"/>
    </row>
    <row r="212" spans="1:25" s="138" customFormat="1" ht="12">
      <c r="A212" s="151"/>
      <c r="B212" s="135"/>
      <c r="C212" s="151"/>
      <c r="D212" s="152"/>
      <c r="K212" s="135"/>
      <c r="L212" s="135"/>
      <c r="M212" s="135"/>
      <c r="N212" s="135"/>
      <c r="O212" s="141"/>
      <c r="P212" s="141"/>
      <c r="Q212" s="141"/>
      <c r="R212" s="141"/>
      <c r="T212" s="142"/>
      <c r="U212" s="142"/>
      <c r="V212" s="140"/>
      <c r="Y212" s="142"/>
    </row>
    <row r="213" spans="1:25" s="138" customFormat="1" ht="12">
      <c r="A213" s="151"/>
      <c r="B213" s="135"/>
      <c r="C213" s="151"/>
      <c r="D213" s="152"/>
      <c r="K213" s="135"/>
      <c r="L213" s="135"/>
      <c r="M213" s="135"/>
      <c r="N213" s="135"/>
      <c r="O213" s="141"/>
      <c r="P213" s="141"/>
      <c r="Q213" s="141"/>
      <c r="R213" s="141"/>
      <c r="T213" s="142"/>
      <c r="U213" s="142"/>
      <c r="V213" s="140"/>
      <c r="Y213" s="142"/>
    </row>
    <row r="214" spans="1:25" s="138" customFormat="1" ht="12">
      <c r="A214" s="134"/>
      <c r="B214" s="135"/>
      <c r="C214" s="134"/>
      <c r="D214" s="150"/>
      <c r="K214" s="135"/>
      <c r="L214" s="135"/>
      <c r="M214" s="135"/>
      <c r="N214" s="135"/>
      <c r="O214" s="141"/>
      <c r="P214" s="141"/>
      <c r="Q214" s="141"/>
      <c r="R214" s="141"/>
      <c r="T214" s="142"/>
      <c r="U214" s="142"/>
      <c r="V214" s="140"/>
      <c r="Y214" s="142"/>
    </row>
    <row r="215" spans="1:25" s="138" customFormat="1" ht="12">
      <c r="A215" s="151"/>
      <c r="B215" s="135"/>
      <c r="C215" s="151"/>
      <c r="D215" s="152"/>
      <c r="K215" s="135"/>
      <c r="L215" s="135"/>
      <c r="M215" s="135"/>
      <c r="N215" s="135"/>
      <c r="O215" s="141"/>
      <c r="P215" s="141"/>
      <c r="Q215" s="141"/>
      <c r="R215" s="141"/>
      <c r="T215" s="142"/>
      <c r="U215" s="142"/>
      <c r="V215" s="140"/>
      <c r="Y215" s="142"/>
    </row>
    <row r="216" spans="1:25" s="138" customFormat="1" ht="12">
      <c r="A216" s="151"/>
      <c r="B216" s="135"/>
      <c r="C216" s="151"/>
      <c r="D216" s="152"/>
      <c r="K216" s="135"/>
      <c r="L216" s="135"/>
      <c r="M216" s="135"/>
      <c r="N216" s="135"/>
      <c r="O216" s="141"/>
      <c r="P216" s="141"/>
      <c r="Q216" s="141"/>
      <c r="R216" s="141"/>
      <c r="T216" s="142"/>
      <c r="U216" s="142"/>
      <c r="V216" s="140"/>
      <c r="Y216" s="142"/>
    </row>
    <row r="217" spans="1:25" s="138" customFormat="1" ht="12">
      <c r="A217" s="151"/>
      <c r="B217" s="135"/>
      <c r="C217" s="151"/>
      <c r="D217" s="152"/>
      <c r="K217" s="135"/>
      <c r="L217" s="135"/>
      <c r="M217" s="135"/>
      <c r="N217" s="135"/>
      <c r="O217" s="141"/>
      <c r="P217" s="141"/>
      <c r="Q217" s="141"/>
      <c r="R217" s="141"/>
      <c r="T217" s="142"/>
      <c r="U217" s="142"/>
      <c r="V217" s="140"/>
      <c r="Y217" s="142"/>
    </row>
    <row r="218" spans="1:25" s="138" customFormat="1" ht="12">
      <c r="A218" s="151"/>
      <c r="B218" s="135"/>
      <c r="C218" s="151"/>
      <c r="D218" s="152"/>
      <c r="K218" s="135"/>
      <c r="L218" s="135"/>
      <c r="M218" s="135"/>
      <c r="N218" s="135"/>
      <c r="O218" s="141"/>
      <c r="P218" s="141"/>
      <c r="Q218" s="141"/>
      <c r="R218" s="141"/>
      <c r="T218" s="142"/>
      <c r="U218" s="142"/>
      <c r="V218" s="140"/>
      <c r="Y218" s="142"/>
    </row>
    <row r="219" spans="1:25" s="138" customFormat="1" ht="12">
      <c r="A219" s="134"/>
      <c r="B219" s="135"/>
      <c r="C219" s="134"/>
      <c r="D219" s="150"/>
      <c r="K219" s="135"/>
      <c r="L219" s="135"/>
      <c r="M219" s="135"/>
      <c r="N219" s="135"/>
      <c r="O219" s="141"/>
      <c r="P219" s="141"/>
      <c r="Q219" s="141"/>
      <c r="R219" s="141"/>
      <c r="T219" s="142"/>
      <c r="U219" s="142"/>
      <c r="V219" s="140"/>
      <c r="Y219" s="142"/>
    </row>
    <row r="220" spans="2:22" s="138" customFormat="1" ht="12">
      <c r="B220" s="135"/>
      <c r="C220" s="153"/>
      <c r="D220" s="142"/>
      <c r="K220" s="135"/>
      <c r="L220" s="135"/>
      <c r="M220" s="135"/>
      <c r="N220" s="135"/>
      <c r="O220" s="141"/>
      <c r="P220" s="141"/>
      <c r="Q220" s="141"/>
      <c r="R220" s="141"/>
      <c r="T220" s="142"/>
      <c r="U220" s="142"/>
      <c r="V220" s="140"/>
    </row>
    <row r="221" spans="2:22" s="138" customFormat="1" ht="12">
      <c r="B221" s="135"/>
      <c r="C221" s="153"/>
      <c r="D221" s="142"/>
      <c r="K221" s="135"/>
      <c r="L221" s="135"/>
      <c r="M221" s="135"/>
      <c r="N221" s="135"/>
      <c r="O221" s="141"/>
      <c r="P221" s="141"/>
      <c r="Q221" s="141"/>
      <c r="R221" s="141"/>
      <c r="T221" s="142"/>
      <c r="U221" s="142"/>
      <c r="V221" s="140"/>
    </row>
    <row r="222" spans="2:22" s="138" customFormat="1" ht="12">
      <c r="B222" s="135"/>
      <c r="C222" s="153"/>
      <c r="D222" s="142"/>
      <c r="K222" s="135"/>
      <c r="L222" s="135"/>
      <c r="M222" s="135"/>
      <c r="N222" s="135"/>
      <c r="O222" s="141"/>
      <c r="P222" s="141"/>
      <c r="Q222" s="141"/>
      <c r="R222" s="141"/>
      <c r="T222" s="142"/>
      <c r="U222" s="142"/>
      <c r="V222" s="140"/>
    </row>
    <row r="223" spans="2:22" s="138" customFormat="1" ht="12">
      <c r="B223" s="135"/>
      <c r="C223" s="153"/>
      <c r="D223" s="142"/>
      <c r="K223" s="135"/>
      <c r="L223" s="135"/>
      <c r="M223" s="135"/>
      <c r="N223" s="135"/>
      <c r="O223" s="141"/>
      <c r="P223" s="141"/>
      <c r="Q223" s="141"/>
      <c r="R223" s="141"/>
      <c r="T223" s="142"/>
      <c r="U223" s="142"/>
      <c r="V223" s="140"/>
    </row>
    <row r="224" spans="2:22" s="138" customFormat="1" ht="12">
      <c r="B224" s="135"/>
      <c r="C224" s="153"/>
      <c r="D224" s="142"/>
      <c r="K224" s="135"/>
      <c r="L224" s="135"/>
      <c r="M224" s="135"/>
      <c r="N224" s="135"/>
      <c r="O224" s="141"/>
      <c r="P224" s="141"/>
      <c r="Q224" s="141"/>
      <c r="R224" s="141"/>
      <c r="T224" s="142"/>
      <c r="U224" s="142"/>
      <c r="V224" s="140"/>
    </row>
    <row r="225" spans="2:22" s="138" customFormat="1" ht="12">
      <c r="B225" s="135"/>
      <c r="C225" s="153"/>
      <c r="D225" s="142"/>
      <c r="K225" s="135"/>
      <c r="L225" s="135"/>
      <c r="M225" s="135"/>
      <c r="N225" s="135"/>
      <c r="O225" s="141"/>
      <c r="P225" s="141"/>
      <c r="Q225" s="141"/>
      <c r="R225" s="141"/>
      <c r="T225" s="142"/>
      <c r="U225" s="142"/>
      <c r="V225" s="140"/>
    </row>
    <row r="226" spans="2:22" s="138" customFormat="1" ht="12">
      <c r="B226" s="135"/>
      <c r="C226" s="153"/>
      <c r="D226" s="142"/>
      <c r="K226" s="135"/>
      <c r="L226" s="135"/>
      <c r="M226" s="135"/>
      <c r="N226" s="135"/>
      <c r="O226" s="141"/>
      <c r="P226" s="141"/>
      <c r="Q226" s="141"/>
      <c r="R226" s="141"/>
      <c r="T226" s="142"/>
      <c r="U226" s="142"/>
      <c r="V226" s="140"/>
    </row>
    <row r="227" spans="2:22" s="138" customFormat="1" ht="12">
      <c r="B227" s="135"/>
      <c r="C227" s="153"/>
      <c r="D227" s="142"/>
      <c r="K227" s="135"/>
      <c r="L227" s="135"/>
      <c r="M227" s="135"/>
      <c r="N227" s="135"/>
      <c r="O227" s="141"/>
      <c r="P227" s="141"/>
      <c r="Q227" s="141"/>
      <c r="R227" s="141"/>
      <c r="T227" s="142"/>
      <c r="U227" s="142"/>
      <c r="V227" s="140"/>
    </row>
    <row r="228" spans="2:22" s="138" customFormat="1" ht="12">
      <c r="B228" s="135"/>
      <c r="C228" s="153"/>
      <c r="D228" s="142"/>
      <c r="K228" s="135"/>
      <c r="L228" s="135"/>
      <c r="M228" s="135"/>
      <c r="N228" s="135"/>
      <c r="O228" s="141"/>
      <c r="P228" s="141"/>
      <c r="Q228" s="141"/>
      <c r="R228" s="141"/>
      <c r="T228" s="142"/>
      <c r="U228" s="142"/>
      <c r="V228" s="140"/>
    </row>
    <row r="229" spans="2:22" s="138" customFormat="1" ht="12">
      <c r="B229" s="135"/>
      <c r="C229" s="153"/>
      <c r="D229" s="142"/>
      <c r="K229" s="135"/>
      <c r="L229" s="135"/>
      <c r="M229" s="135"/>
      <c r="N229" s="135"/>
      <c r="O229" s="141"/>
      <c r="P229" s="141"/>
      <c r="Q229" s="141"/>
      <c r="R229" s="141"/>
      <c r="T229" s="142"/>
      <c r="U229" s="142"/>
      <c r="V229" s="140"/>
    </row>
    <row r="230" spans="2:22" s="138" customFormat="1" ht="12">
      <c r="B230" s="135"/>
      <c r="C230" s="153"/>
      <c r="D230" s="142"/>
      <c r="K230" s="135"/>
      <c r="L230" s="135"/>
      <c r="M230" s="135"/>
      <c r="N230" s="135"/>
      <c r="O230" s="141"/>
      <c r="P230" s="141"/>
      <c r="Q230" s="141"/>
      <c r="R230" s="141"/>
      <c r="T230" s="142"/>
      <c r="U230" s="142"/>
      <c r="V230" s="140"/>
    </row>
    <row r="231" spans="2:22" s="138" customFormat="1" ht="12">
      <c r="B231" s="135"/>
      <c r="C231" s="153"/>
      <c r="D231" s="142"/>
      <c r="K231" s="135"/>
      <c r="L231" s="135"/>
      <c r="M231" s="135"/>
      <c r="N231" s="135"/>
      <c r="O231" s="141"/>
      <c r="P231" s="141"/>
      <c r="Q231" s="141"/>
      <c r="R231" s="141"/>
      <c r="T231" s="142"/>
      <c r="U231" s="142"/>
      <c r="V231" s="140"/>
    </row>
    <row r="232" spans="2:22" s="138" customFormat="1" ht="12">
      <c r="B232" s="135"/>
      <c r="C232" s="153"/>
      <c r="D232" s="142"/>
      <c r="K232" s="135"/>
      <c r="L232" s="135"/>
      <c r="M232" s="135"/>
      <c r="N232" s="135"/>
      <c r="O232" s="141"/>
      <c r="P232" s="141"/>
      <c r="Q232" s="141"/>
      <c r="R232" s="141"/>
      <c r="T232" s="142"/>
      <c r="U232" s="142"/>
      <c r="V232" s="140"/>
    </row>
    <row r="233" spans="2:22" s="138" customFormat="1" ht="12">
      <c r="B233" s="135"/>
      <c r="C233" s="153"/>
      <c r="D233" s="142"/>
      <c r="K233" s="135"/>
      <c r="L233" s="135"/>
      <c r="M233" s="135"/>
      <c r="N233" s="135"/>
      <c r="O233" s="141"/>
      <c r="P233" s="141"/>
      <c r="Q233" s="141"/>
      <c r="R233" s="141"/>
      <c r="T233" s="142"/>
      <c r="U233" s="142"/>
      <c r="V233" s="14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26" sqref="F26"/>
    </sheetView>
  </sheetViews>
  <sheetFormatPr defaultColWidth="9.140625" defaultRowHeight="12.75"/>
  <cols>
    <col min="1" max="1" width="14.57421875" style="2" customWidth="1"/>
    <col min="2" max="2" width="10.140625" style="14" bestFit="1" customWidth="1"/>
    <col min="3" max="3" width="7.421875" style="2" customWidth="1"/>
    <col min="4" max="4" width="11.140625" style="8" customWidth="1"/>
    <col min="5" max="5" width="7.421875" style="2" bestFit="1" customWidth="1"/>
    <col min="6" max="6" width="9.140625" style="2" customWidth="1"/>
    <col min="7" max="7" width="20.421875" style="2" customWidth="1"/>
    <col min="8" max="8" width="4.28125" style="2" customWidth="1"/>
    <col min="9" max="9" width="3.28125" style="2" customWidth="1"/>
    <col min="10" max="10" width="15.421875" style="2" customWidth="1"/>
    <col min="11" max="11" width="10.140625" style="14" bestFit="1" customWidth="1"/>
    <col min="12" max="12" width="5.7109375" style="14" customWidth="1"/>
    <col min="13" max="14" width="10.140625" style="14" bestFit="1" customWidth="1"/>
    <col min="15" max="16" width="9.28125" style="9" bestFit="1" customWidth="1"/>
    <col min="17" max="17" width="10.00390625" style="9" bestFit="1" customWidth="1"/>
    <col min="18" max="18" width="8.7109375" style="9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80</v>
      </c>
      <c r="B1" s="16"/>
      <c r="C1" s="4"/>
      <c r="D1" s="7"/>
      <c r="E1" s="4"/>
      <c r="F1" s="4"/>
      <c r="G1" s="119" t="s">
        <v>101</v>
      </c>
      <c r="H1" s="4"/>
      <c r="I1" s="4"/>
      <c r="J1" s="4"/>
      <c r="O1" s="96"/>
      <c r="P1" s="96" t="s">
        <v>100</v>
      </c>
      <c r="Q1" s="115">
        <v>42551</v>
      </c>
    </row>
    <row r="3" spans="1:22" ht="38.25" customHeight="1">
      <c r="A3" s="5" t="s">
        <v>75</v>
      </c>
      <c r="B3" s="17" t="s">
        <v>70</v>
      </c>
      <c r="C3" s="6" t="s">
        <v>86</v>
      </c>
      <c r="D3" s="116" t="s">
        <v>44</v>
      </c>
      <c r="E3" s="5" t="s">
        <v>85</v>
      </c>
      <c r="F3" s="118" t="s">
        <v>71</v>
      </c>
      <c r="G3" s="118" t="s">
        <v>72</v>
      </c>
      <c r="H3" s="6" t="s">
        <v>83</v>
      </c>
      <c r="I3" s="6" t="s">
        <v>84</v>
      </c>
      <c r="J3" s="118" t="s">
        <v>73</v>
      </c>
      <c r="K3" s="117" t="s">
        <v>74</v>
      </c>
      <c r="L3" s="15" t="s">
        <v>76</v>
      </c>
      <c r="M3" s="15" t="s">
        <v>92</v>
      </c>
      <c r="N3" s="15" t="s">
        <v>93</v>
      </c>
      <c r="O3" s="10" t="s">
        <v>77</v>
      </c>
      <c r="P3" s="11" t="s">
        <v>87</v>
      </c>
      <c r="Q3" s="12" t="s">
        <v>88</v>
      </c>
      <c r="R3" s="13" t="s">
        <v>50</v>
      </c>
      <c r="S3" s="2" t="s">
        <v>94</v>
      </c>
      <c r="T3" s="8" t="s">
        <v>95</v>
      </c>
      <c r="U3" s="8" t="s">
        <v>96</v>
      </c>
      <c r="V3" s="2" t="s">
        <v>97</v>
      </c>
    </row>
    <row r="4" spans="2:21" s="120" customFormat="1" ht="11.25">
      <c r="B4" s="121"/>
      <c r="D4" s="123"/>
      <c r="K4" s="121"/>
      <c r="L4" s="121"/>
      <c r="M4" s="121"/>
      <c r="N4" s="121"/>
      <c r="O4" s="122"/>
      <c r="P4" s="122"/>
      <c r="Q4" s="122"/>
      <c r="R4" s="122"/>
      <c r="T4" s="123"/>
      <c r="U4" s="123"/>
    </row>
    <row r="5" spans="2:21" s="120" customFormat="1" ht="11.25">
      <c r="B5" s="121"/>
      <c r="D5" s="123"/>
      <c r="K5" s="121"/>
      <c r="L5" s="121"/>
      <c r="M5" s="121"/>
      <c r="N5" s="121"/>
      <c r="O5" s="122"/>
      <c r="P5" s="122"/>
      <c r="Q5" s="122"/>
      <c r="R5" s="122"/>
      <c r="T5" s="123"/>
      <c r="U5" s="123"/>
    </row>
    <row r="6" spans="2:21" s="120" customFormat="1" ht="11.25">
      <c r="B6" s="121"/>
      <c r="D6" s="123"/>
      <c r="K6" s="121"/>
      <c r="L6" s="121"/>
      <c r="M6" s="121"/>
      <c r="N6" s="121"/>
      <c r="O6" s="122"/>
      <c r="P6" s="122"/>
      <c r="Q6" s="122"/>
      <c r="R6" s="122"/>
      <c r="T6" s="123"/>
      <c r="U6" s="123"/>
    </row>
    <row r="7" spans="2:21" s="120" customFormat="1" ht="11.25">
      <c r="B7" s="121"/>
      <c r="D7" s="123"/>
      <c r="K7" s="121"/>
      <c r="L7" s="121"/>
      <c r="M7" s="121"/>
      <c r="N7" s="121"/>
      <c r="O7" s="122"/>
      <c r="P7" s="122"/>
      <c r="Q7" s="122"/>
      <c r="R7" s="122"/>
      <c r="T7" s="123"/>
      <c r="U7" s="123"/>
    </row>
    <row r="8" spans="2:21" s="120" customFormat="1" ht="11.25">
      <c r="B8" s="121"/>
      <c r="D8" s="123"/>
      <c r="K8" s="121"/>
      <c r="L8" s="121"/>
      <c r="M8" s="121"/>
      <c r="N8" s="121"/>
      <c r="O8" s="122"/>
      <c r="P8" s="122"/>
      <c r="Q8" s="122"/>
      <c r="R8" s="122"/>
      <c r="T8" s="123"/>
      <c r="U8" s="123"/>
    </row>
    <row r="9" spans="2:21" s="120" customFormat="1" ht="11.25">
      <c r="B9" s="121"/>
      <c r="D9" s="123"/>
      <c r="K9" s="121"/>
      <c r="L9" s="121"/>
      <c r="M9" s="121"/>
      <c r="N9" s="121"/>
      <c r="O9" s="122"/>
      <c r="P9" s="122"/>
      <c r="Q9" s="122"/>
      <c r="R9" s="122"/>
      <c r="T9" s="123"/>
      <c r="U9" s="123"/>
    </row>
    <row r="10" spans="2:21" s="120" customFormat="1" ht="11.25">
      <c r="B10" s="121"/>
      <c r="D10" s="123"/>
      <c r="K10" s="121"/>
      <c r="L10" s="121"/>
      <c r="M10" s="121"/>
      <c r="N10" s="121"/>
      <c r="O10" s="122"/>
      <c r="P10" s="122"/>
      <c r="Q10" s="122"/>
      <c r="R10" s="122"/>
      <c r="T10" s="123"/>
      <c r="U10" s="123"/>
    </row>
    <row r="11" spans="2:21" s="120" customFormat="1" ht="11.25">
      <c r="B11" s="121"/>
      <c r="D11" s="123"/>
      <c r="K11" s="121"/>
      <c r="L11" s="121"/>
      <c r="M11" s="121"/>
      <c r="N11" s="121"/>
      <c r="O11" s="122"/>
      <c r="P11" s="122"/>
      <c r="Q11" s="122"/>
      <c r="R11" s="122"/>
      <c r="T11" s="123"/>
      <c r="U11" s="123"/>
    </row>
    <row r="12" spans="2:21" s="120" customFormat="1" ht="11.25">
      <c r="B12" s="121"/>
      <c r="D12" s="123"/>
      <c r="K12" s="121"/>
      <c r="L12" s="121"/>
      <c r="M12" s="121"/>
      <c r="N12" s="121"/>
      <c r="O12" s="122"/>
      <c r="P12" s="122"/>
      <c r="Q12" s="122"/>
      <c r="R12" s="122"/>
      <c r="T12" s="123"/>
      <c r="U12" s="123"/>
    </row>
    <row r="13" spans="2:21" s="120" customFormat="1" ht="11.25">
      <c r="B13" s="121"/>
      <c r="D13" s="123"/>
      <c r="K13" s="121"/>
      <c r="L13" s="121"/>
      <c r="M13" s="121"/>
      <c r="N13" s="121"/>
      <c r="O13" s="122"/>
      <c r="P13" s="122"/>
      <c r="Q13" s="122"/>
      <c r="R13" s="122"/>
      <c r="T13" s="123"/>
      <c r="U13" s="123"/>
    </row>
    <row r="14" spans="2:21" s="120" customFormat="1" ht="11.25">
      <c r="B14" s="121"/>
      <c r="D14" s="123"/>
      <c r="K14" s="121"/>
      <c r="L14" s="121"/>
      <c r="M14" s="121"/>
      <c r="N14" s="121"/>
      <c r="O14" s="122"/>
      <c r="P14" s="122"/>
      <c r="Q14" s="122"/>
      <c r="R14" s="122"/>
      <c r="T14" s="123"/>
      <c r="U14" s="123"/>
    </row>
    <row r="15" spans="2:21" s="120" customFormat="1" ht="11.25">
      <c r="B15" s="121"/>
      <c r="D15" s="123"/>
      <c r="K15" s="121"/>
      <c r="L15" s="121"/>
      <c r="M15" s="121"/>
      <c r="N15" s="121"/>
      <c r="O15" s="122"/>
      <c r="P15" s="122"/>
      <c r="Q15" s="122"/>
      <c r="R15" s="122"/>
      <c r="T15" s="123"/>
      <c r="U15" s="123"/>
    </row>
    <row r="16" spans="2:21" s="120" customFormat="1" ht="11.25">
      <c r="B16" s="121"/>
      <c r="D16" s="123"/>
      <c r="K16" s="121"/>
      <c r="L16" s="121"/>
      <c r="M16" s="121"/>
      <c r="N16" s="121"/>
      <c r="O16" s="122"/>
      <c r="P16" s="122"/>
      <c r="Q16" s="122"/>
      <c r="R16" s="122"/>
      <c r="T16" s="123"/>
      <c r="U16" s="123"/>
    </row>
    <row r="17" spans="2:21" s="120" customFormat="1" ht="11.25">
      <c r="B17" s="121"/>
      <c r="D17" s="123"/>
      <c r="K17" s="121"/>
      <c r="L17" s="121"/>
      <c r="M17" s="121"/>
      <c r="N17" s="121"/>
      <c r="O17" s="122"/>
      <c r="P17" s="122"/>
      <c r="Q17" s="122"/>
      <c r="R17" s="122"/>
      <c r="T17" s="123"/>
      <c r="U17" s="123"/>
    </row>
    <row r="18" spans="2:21" s="120" customFormat="1" ht="11.25">
      <c r="B18" s="121"/>
      <c r="D18" s="123"/>
      <c r="K18" s="121"/>
      <c r="L18" s="121"/>
      <c r="M18" s="121"/>
      <c r="N18" s="121"/>
      <c r="O18" s="122"/>
      <c r="P18" s="122"/>
      <c r="Q18" s="122"/>
      <c r="R18" s="122"/>
      <c r="T18" s="123"/>
      <c r="U18" s="123"/>
    </row>
    <row r="19" spans="2:21" s="120" customFormat="1" ht="11.25">
      <c r="B19" s="121"/>
      <c r="D19" s="123"/>
      <c r="K19" s="121"/>
      <c r="L19" s="121"/>
      <c r="M19" s="121"/>
      <c r="N19" s="121"/>
      <c r="O19" s="122"/>
      <c r="P19" s="122"/>
      <c r="Q19" s="122"/>
      <c r="R19" s="122"/>
      <c r="T19" s="123"/>
      <c r="U19" s="123"/>
    </row>
    <row r="20" spans="2:21" s="120" customFormat="1" ht="11.25">
      <c r="B20" s="121"/>
      <c r="D20" s="123"/>
      <c r="K20" s="121"/>
      <c r="L20" s="121"/>
      <c r="M20" s="121"/>
      <c r="N20" s="121"/>
      <c r="O20" s="122"/>
      <c r="P20" s="122"/>
      <c r="Q20" s="122"/>
      <c r="R20" s="122"/>
      <c r="T20" s="123"/>
      <c r="U20" s="123"/>
    </row>
    <row r="21" spans="2:21" s="120" customFormat="1" ht="11.25">
      <c r="B21" s="121"/>
      <c r="D21" s="123"/>
      <c r="K21" s="121"/>
      <c r="L21" s="121"/>
      <c r="M21" s="121"/>
      <c r="N21" s="121"/>
      <c r="O21" s="122"/>
      <c r="P21" s="122"/>
      <c r="Q21" s="122"/>
      <c r="R21" s="122"/>
      <c r="T21" s="123"/>
      <c r="U21" s="123"/>
    </row>
    <row r="22" spans="2:21" s="120" customFormat="1" ht="11.25">
      <c r="B22" s="121"/>
      <c r="D22" s="123"/>
      <c r="K22" s="121"/>
      <c r="L22" s="121"/>
      <c r="M22" s="121"/>
      <c r="N22" s="121"/>
      <c r="O22" s="122"/>
      <c r="P22" s="122"/>
      <c r="Q22" s="122"/>
      <c r="R22" s="122"/>
      <c r="T22" s="123"/>
      <c r="U22" s="123"/>
    </row>
    <row r="23" spans="2:21" s="120" customFormat="1" ht="11.25">
      <c r="B23" s="121"/>
      <c r="D23" s="123"/>
      <c r="K23" s="121"/>
      <c r="L23" s="121"/>
      <c r="M23" s="121"/>
      <c r="N23" s="121"/>
      <c r="O23" s="122"/>
      <c r="P23" s="122"/>
      <c r="Q23" s="122"/>
      <c r="R23" s="122"/>
      <c r="T23" s="123"/>
      <c r="U23" s="123"/>
    </row>
    <row r="24" spans="2:21" s="120" customFormat="1" ht="11.25">
      <c r="B24" s="121"/>
      <c r="D24" s="123"/>
      <c r="K24" s="121"/>
      <c r="L24" s="121"/>
      <c r="M24" s="121"/>
      <c r="N24" s="121"/>
      <c r="O24" s="122"/>
      <c r="P24" s="122"/>
      <c r="Q24" s="122"/>
      <c r="R24" s="122"/>
      <c r="T24" s="123"/>
      <c r="U24" s="123"/>
    </row>
    <row r="25" spans="2:21" s="120" customFormat="1" ht="11.25">
      <c r="B25" s="121"/>
      <c r="D25" s="123"/>
      <c r="K25" s="121"/>
      <c r="L25" s="121"/>
      <c r="M25" s="121"/>
      <c r="N25" s="121"/>
      <c r="O25" s="122"/>
      <c r="P25" s="122"/>
      <c r="Q25" s="122"/>
      <c r="R25" s="122"/>
      <c r="T25" s="123"/>
      <c r="U25" s="123"/>
    </row>
    <row r="26" spans="2:21" s="120" customFormat="1" ht="11.25">
      <c r="B26" s="121"/>
      <c r="D26" s="123"/>
      <c r="K26" s="121"/>
      <c r="L26" s="121"/>
      <c r="M26" s="121"/>
      <c r="N26" s="121"/>
      <c r="O26" s="122"/>
      <c r="P26" s="122"/>
      <c r="Q26" s="122"/>
      <c r="R26" s="122"/>
      <c r="T26" s="123"/>
      <c r="U26" s="123"/>
    </row>
    <row r="27" spans="2:21" s="120" customFormat="1" ht="11.25">
      <c r="B27" s="121"/>
      <c r="D27" s="123"/>
      <c r="K27" s="121"/>
      <c r="L27" s="121"/>
      <c r="M27" s="121"/>
      <c r="N27" s="121"/>
      <c r="O27" s="122"/>
      <c r="P27" s="122"/>
      <c r="Q27" s="122"/>
      <c r="R27" s="122"/>
      <c r="T27" s="123"/>
      <c r="U27" s="123"/>
    </row>
    <row r="28" spans="2:21" s="120" customFormat="1" ht="11.25">
      <c r="B28" s="121"/>
      <c r="D28" s="123"/>
      <c r="K28" s="121"/>
      <c r="L28" s="121"/>
      <c r="M28" s="121"/>
      <c r="N28" s="121"/>
      <c r="O28" s="122"/>
      <c r="P28" s="122"/>
      <c r="Q28" s="122"/>
      <c r="R28" s="122"/>
      <c r="T28" s="123"/>
      <c r="U28" s="123"/>
    </row>
    <row r="29" spans="2:21" s="120" customFormat="1" ht="11.25">
      <c r="B29" s="121"/>
      <c r="D29" s="123"/>
      <c r="K29" s="121"/>
      <c r="L29" s="121"/>
      <c r="M29" s="121"/>
      <c r="N29" s="121"/>
      <c r="O29" s="122"/>
      <c r="P29" s="122"/>
      <c r="Q29" s="122"/>
      <c r="R29" s="122"/>
      <c r="T29" s="123"/>
      <c r="U29" s="123"/>
    </row>
    <row r="30" spans="2:21" s="120" customFormat="1" ht="11.25">
      <c r="B30" s="121"/>
      <c r="D30" s="123"/>
      <c r="K30" s="121"/>
      <c r="L30" s="121"/>
      <c r="M30" s="121"/>
      <c r="N30" s="121"/>
      <c r="O30" s="122"/>
      <c r="P30" s="122"/>
      <c r="Q30" s="122"/>
      <c r="R30" s="122"/>
      <c r="T30" s="123"/>
      <c r="U30" s="123"/>
    </row>
    <row r="31" spans="2:21" s="120" customFormat="1" ht="11.25">
      <c r="B31" s="121"/>
      <c r="D31" s="123"/>
      <c r="K31" s="121"/>
      <c r="L31" s="121"/>
      <c r="M31" s="121"/>
      <c r="N31" s="121"/>
      <c r="O31" s="122"/>
      <c r="P31" s="122"/>
      <c r="Q31" s="122"/>
      <c r="R31" s="122"/>
      <c r="T31" s="123"/>
      <c r="U31" s="123"/>
    </row>
    <row r="32" spans="2:21" s="120" customFormat="1" ht="11.25">
      <c r="B32" s="121"/>
      <c r="D32" s="123"/>
      <c r="K32" s="121"/>
      <c r="L32" s="121"/>
      <c r="M32" s="121"/>
      <c r="N32" s="121"/>
      <c r="O32" s="122"/>
      <c r="P32" s="122"/>
      <c r="Q32" s="122"/>
      <c r="R32" s="122"/>
      <c r="T32" s="123"/>
      <c r="U32" s="123"/>
    </row>
    <row r="33" spans="2:21" s="120" customFormat="1" ht="11.25">
      <c r="B33" s="121"/>
      <c r="D33" s="123"/>
      <c r="K33" s="121"/>
      <c r="L33" s="121"/>
      <c r="M33" s="121"/>
      <c r="N33" s="121"/>
      <c r="O33" s="122"/>
      <c r="P33" s="122"/>
      <c r="Q33" s="122"/>
      <c r="R33" s="122"/>
      <c r="T33" s="123"/>
      <c r="U33" s="123"/>
    </row>
    <row r="34" spans="2:21" s="120" customFormat="1" ht="11.25">
      <c r="B34" s="121"/>
      <c r="D34" s="123"/>
      <c r="K34" s="121"/>
      <c r="L34" s="121"/>
      <c r="M34" s="121"/>
      <c r="N34" s="121"/>
      <c r="O34" s="122"/>
      <c r="P34" s="122"/>
      <c r="Q34" s="122"/>
      <c r="R34" s="122"/>
      <c r="T34" s="123"/>
      <c r="U34" s="123"/>
    </row>
    <row r="35" spans="2:21" s="120" customFormat="1" ht="11.25">
      <c r="B35" s="121"/>
      <c r="D35" s="123"/>
      <c r="K35" s="121"/>
      <c r="L35" s="121"/>
      <c r="M35" s="121"/>
      <c r="N35" s="121"/>
      <c r="O35" s="122"/>
      <c r="P35" s="122"/>
      <c r="Q35" s="122"/>
      <c r="R35" s="122"/>
      <c r="T35" s="123"/>
      <c r="U35" s="123"/>
    </row>
    <row r="36" spans="2:21" s="120" customFormat="1" ht="11.25">
      <c r="B36" s="121"/>
      <c r="D36" s="123"/>
      <c r="K36" s="121"/>
      <c r="L36" s="121"/>
      <c r="M36" s="121"/>
      <c r="N36" s="121"/>
      <c r="O36" s="122"/>
      <c r="P36" s="122"/>
      <c r="Q36" s="122"/>
      <c r="R36" s="122"/>
      <c r="T36" s="123"/>
      <c r="U36" s="123"/>
    </row>
    <row r="37" spans="2:21" s="120" customFormat="1" ht="11.25">
      <c r="B37" s="121"/>
      <c r="D37" s="123"/>
      <c r="K37" s="121"/>
      <c r="L37" s="121"/>
      <c r="M37" s="121"/>
      <c r="N37" s="121"/>
      <c r="O37" s="122"/>
      <c r="P37" s="122"/>
      <c r="Q37" s="122"/>
      <c r="R37" s="122"/>
      <c r="T37" s="123"/>
      <c r="U37" s="123"/>
    </row>
    <row r="38" spans="2:21" s="120" customFormat="1" ht="11.25">
      <c r="B38" s="121"/>
      <c r="D38" s="123"/>
      <c r="K38" s="121"/>
      <c r="L38" s="121"/>
      <c r="M38" s="121"/>
      <c r="N38" s="121"/>
      <c r="O38" s="122"/>
      <c r="P38" s="122"/>
      <c r="Q38" s="122"/>
      <c r="R38" s="122"/>
      <c r="T38" s="123"/>
      <c r="U38" s="123"/>
    </row>
    <row r="39" spans="2:21" s="120" customFormat="1" ht="11.25">
      <c r="B39" s="121"/>
      <c r="D39" s="123"/>
      <c r="K39" s="121"/>
      <c r="L39" s="121"/>
      <c r="M39" s="121"/>
      <c r="N39" s="121"/>
      <c r="O39" s="122"/>
      <c r="P39" s="122"/>
      <c r="Q39" s="122"/>
      <c r="R39" s="122"/>
      <c r="T39" s="123"/>
      <c r="U39" s="123"/>
    </row>
    <row r="40" spans="2:21" s="120" customFormat="1" ht="11.25">
      <c r="B40" s="121"/>
      <c r="D40" s="123"/>
      <c r="K40" s="121"/>
      <c r="L40" s="121"/>
      <c r="M40" s="121"/>
      <c r="N40" s="121"/>
      <c r="O40" s="122"/>
      <c r="P40" s="122"/>
      <c r="Q40" s="122"/>
      <c r="R40" s="122"/>
      <c r="T40" s="123"/>
      <c r="U40" s="12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2:EK60"/>
  <sheetViews>
    <sheetView zoomScalePageLayoutView="0" workbookViewId="0" topLeftCell="E12">
      <selection activeCell="S47" sqref="S47"/>
    </sheetView>
  </sheetViews>
  <sheetFormatPr defaultColWidth="9.140625" defaultRowHeight="12.75"/>
  <cols>
    <col min="1" max="1" width="16.7109375" style="2" customWidth="1"/>
    <col min="2" max="2" width="10.7109375" style="14" bestFit="1" customWidth="1"/>
    <col min="3" max="3" width="24.00390625" style="2" bestFit="1" customWidth="1"/>
    <col min="4" max="4" width="11.140625" style="8" customWidth="1"/>
    <col min="5" max="5" width="10.421875" style="2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0.7109375" style="14" bestFit="1" customWidth="1"/>
    <col min="12" max="12" width="9.140625" style="14" customWidth="1"/>
    <col min="13" max="13" width="10.140625" style="14" bestFit="1" customWidth="1"/>
    <col min="14" max="14" width="10.7109375" style="14" bestFit="1" customWidth="1"/>
    <col min="15" max="15" width="9.140625" style="9" customWidth="1"/>
    <col min="16" max="16" width="9.8515625" style="9" bestFit="1" customWidth="1"/>
    <col min="17" max="17" width="9.8515625" style="2" bestFit="1" customWidth="1"/>
    <col min="18" max="19" width="15.57421875" style="8" bestFit="1" customWidth="1"/>
    <col min="20" max="22" width="9.140625" style="2" customWidth="1"/>
    <col min="23" max="141" width="9.140625" style="133" customWidth="1"/>
    <col min="142" max="16384" width="9.140625" style="2" customWidth="1"/>
  </cols>
  <sheetData>
    <row r="2" ht="11.25">
      <c r="D2" s="126" t="s">
        <v>103</v>
      </c>
    </row>
    <row r="3" spans="1:17" ht="11.25">
      <c r="A3" s="3" t="s">
        <v>81</v>
      </c>
      <c r="B3" s="16"/>
      <c r="C3" s="4"/>
      <c r="D3" s="125" t="s">
        <v>102</v>
      </c>
      <c r="E3" s="4"/>
      <c r="F3" s="4"/>
      <c r="G3" s="4"/>
      <c r="H3" s="4"/>
      <c r="I3" s="4"/>
      <c r="J3" s="4"/>
      <c r="N3" s="97"/>
      <c r="O3" s="96"/>
      <c r="P3" s="96" t="s">
        <v>100</v>
      </c>
      <c r="Q3" s="115">
        <v>42551</v>
      </c>
    </row>
    <row r="5" spans="1:20" ht="38.25" customHeight="1">
      <c r="A5" s="5" t="s">
        <v>75</v>
      </c>
      <c r="B5" s="17" t="s">
        <v>70</v>
      </c>
      <c r="C5" s="6" t="s">
        <v>86</v>
      </c>
      <c r="D5" s="116" t="s">
        <v>44</v>
      </c>
      <c r="E5" s="5" t="s">
        <v>85</v>
      </c>
      <c r="F5" s="124" t="s">
        <v>71</v>
      </c>
      <c r="G5" s="124" t="s">
        <v>72</v>
      </c>
      <c r="H5" s="6" t="s">
        <v>83</v>
      </c>
      <c r="I5" s="6" t="s">
        <v>84</v>
      </c>
      <c r="J5" s="6" t="s">
        <v>73</v>
      </c>
      <c r="K5" s="117" t="s">
        <v>74</v>
      </c>
      <c r="L5" s="15" t="s">
        <v>76</v>
      </c>
      <c r="M5" s="117" t="s">
        <v>92</v>
      </c>
      <c r="N5" s="117" t="s">
        <v>93</v>
      </c>
      <c r="O5" s="11" t="s">
        <v>82</v>
      </c>
      <c r="P5" s="13" t="s">
        <v>50</v>
      </c>
      <c r="Q5" s="131" t="s">
        <v>98</v>
      </c>
      <c r="R5" s="8" t="s">
        <v>95</v>
      </c>
      <c r="S5" s="8" t="s">
        <v>96</v>
      </c>
      <c r="T5" s="2" t="s">
        <v>99</v>
      </c>
    </row>
    <row r="6" spans="1:21" s="159" customFormat="1" ht="12.75">
      <c r="A6" s="154" t="s">
        <v>496</v>
      </c>
      <c r="B6" s="155">
        <v>42978</v>
      </c>
      <c r="C6" s="154" t="s">
        <v>497</v>
      </c>
      <c r="D6" s="156">
        <v>54.93</v>
      </c>
      <c r="E6" s="18"/>
      <c r="F6" s="18"/>
      <c r="G6" s="18"/>
      <c r="H6" s="18"/>
      <c r="I6" s="18"/>
      <c r="J6" s="18"/>
      <c r="K6" s="155">
        <v>42996</v>
      </c>
      <c r="L6" s="155"/>
      <c r="M6" s="155">
        <f>+N6</f>
        <v>43010</v>
      </c>
      <c r="N6" s="235">
        <v>43010</v>
      </c>
      <c r="O6" s="157">
        <f>+M6-K6</f>
        <v>14</v>
      </c>
      <c r="P6" s="157">
        <f>+N6-M6</f>
        <v>0</v>
      </c>
      <c r="Q6" s="157">
        <f>+N6-K6</f>
        <v>14</v>
      </c>
      <c r="R6" s="157">
        <f>+O6*D6</f>
        <v>769.02</v>
      </c>
      <c r="S6" s="157">
        <f>+P6*D6</f>
        <v>0</v>
      </c>
      <c r="T6" s="158"/>
      <c r="U6" s="158"/>
    </row>
    <row r="7" spans="1:21" s="159" customFormat="1" ht="12.75">
      <c r="A7" s="154" t="s">
        <v>498</v>
      </c>
      <c r="B7" s="155">
        <v>42985</v>
      </c>
      <c r="C7" s="154" t="s">
        <v>499</v>
      </c>
      <c r="D7" s="156">
        <v>309.76</v>
      </c>
      <c r="E7" s="18"/>
      <c r="F7" s="18"/>
      <c r="G7" s="18"/>
      <c r="H7" s="18"/>
      <c r="I7" s="18"/>
      <c r="J7" s="18"/>
      <c r="K7" s="155">
        <v>42999</v>
      </c>
      <c r="L7" s="155"/>
      <c r="M7" s="155">
        <f>+N7</f>
        <v>43017</v>
      </c>
      <c r="N7" s="235">
        <v>43017</v>
      </c>
      <c r="O7" s="157">
        <f>+M7-K7</f>
        <v>18</v>
      </c>
      <c r="P7" s="157">
        <f>+N7-M7</f>
        <v>0</v>
      </c>
      <c r="Q7" s="157">
        <f>+N7-K7</f>
        <v>18</v>
      </c>
      <c r="R7" s="157">
        <f>+O7*D7</f>
        <v>5575.68</v>
      </c>
      <c r="S7" s="157">
        <f>+P7*D7</f>
        <v>0</v>
      </c>
      <c r="T7" s="158"/>
      <c r="U7" s="158"/>
    </row>
    <row r="8" spans="1:21" s="159" customFormat="1" ht="12.75">
      <c r="A8" s="154" t="s">
        <v>500</v>
      </c>
      <c r="B8" s="155">
        <v>42978</v>
      </c>
      <c r="C8" s="154" t="s">
        <v>501</v>
      </c>
      <c r="D8" s="156">
        <v>122.57</v>
      </c>
      <c r="E8" s="18"/>
      <c r="F8" s="18"/>
      <c r="G8" s="18"/>
      <c r="H8" s="18"/>
      <c r="I8" s="18"/>
      <c r="J8" s="18"/>
      <c r="K8" s="155">
        <v>43004</v>
      </c>
      <c r="L8" s="155"/>
      <c r="M8" s="155">
        <f>+N8</f>
        <v>43010</v>
      </c>
      <c r="N8" s="235">
        <v>43010</v>
      </c>
      <c r="O8" s="157">
        <f>+M8-K8</f>
        <v>6</v>
      </c>
      <c r="P8" s="157">
        <f>+N8-M8</f>
        <v>0</v>
      </c>
      <c r="Q8" s="157">
        <f>+N8-K8</f>
        <v>6</v>
      </c>
      <c r="R8" s="157">
        <f>+O8*D8</f>
        <v>735.42</v>
      </c>
      <c r="S8" s="157">
        <f>+P8*D8</f>
        <v>0</v>
      </c>
      <c r="T8" s="158"/>
      <c r="U8" s="158"/>
    </row>
    <row r="9" spans="1:21" s="159" customFormat="1" ht="12.75">
      <c r="A9" s="154" t="s">
        <v>502</v>
      </c>
      <c r="B9" s="155">
        <v>42978</v>
      </c>
      <c r="C9" s="154" t="s">
        <v>503</v>
      </c>
      <c r="D9" s="156">
        <v>219.13</v>
      </c>
      <c r="E9" s="18"/>
      <c r="F9" s="18"/>
      <c r="G9" s="18"/>
      <c r="H9" s="18"/>
      <c r="I9" s="18"/>
      <c r="J9" s="18"/>
      <c r="K9" s="155">
        <v>43004</v>
      </c>
      <c r="L9" s="155"/>
      <c r="M9" s="155">
        <f>+N9</f>
        <v>43010</v>
      </c>
      <c r="N9" s="235">
        <v>43010</v>
      </c>
      <c r="O9" s="157">
        <f>+M9-K9</f>
        <v>6</v>
      </c>
      <c r="P9" s="157">
        <f>+N9-M9</f>
        <v>0</v>
      </c>
      <c r="Q9" s="157">
        <f>+N9-K9</f>
        <v>6</v>
      </c>
      <c r="R9" s="157">
        <f>+O9*D9</f>
        <v>1314.78</v>
      </c>
      <c r="S9" s="157">
        <f>+P9*D9</f>
        <v>0</v>
      </c>
      <c r="T9" s="158"/>
      <c r="U9" s="158"/>
    </row>
    <row r="10" spans="1:21" s="159" customFormat="1" ht="12.75">
      <c r="A10" s="154" t="s">
        <v>504</v>
      </c>
      <c r="B10" s="155">
        <v>42944</v>
      </c>
      <c r="C10" s="154" t="s">
        <v>505</v>
      </c>
      <c r="D10" s="156">
        <v>1320.42</v>
      </c>
      <c r="E10" s="18"/>
      <c r="F10" s="18"/>
      <c r="G10" s="18"/>
      <c r="H10" s="18"/>
      <c r="I10" s="18"/>
      <c r="J10" s="18"/>
      <c r="K10" s="155">
        <v>43010</v>
      </c>
      <c r="L10" s="155"/>
      <c r="M10" s="155">
        <f>+N10</f>
        <v>43025</v>
      </c>
      <c r="N10" s="235">
        <v>43025</v>
      </c>
      <c r="O10" s="157">
        <f>+M10-K10</f>
        <v>15</v>
      </c>
      <c r="P10" s="157">
        <f>+N10-M10</f>
        <v>0</v>
      </c>
      <c r="Q10" s="157">
        <f>+N10-K10</f>
        <v>15</v>
      </c>
      <c r="R10" s="157">
        <f>+O10*D10</f>
        <v>19806.300000000003</v>
      </c>
      <c r="S10" s="157">
        <f>+P10*D10</f>
        <v>0</v>
      </c>
      <c r="T10" s="158"/>
      <c r="U10" s="158"/>
    </row>
    <row r="11" spans="1:21" s="159" customFormat="1" ht="12.75">
      <c r="A11" s="154" t="s">
        <v>506</v>
      </c>
      <c r="B11" s="155">
        <v>42917</v>
      </c>
      <c r="C11" s="154" t="s">
        <v>507</v>
      </c>
      <c r="D11" s="156">
        <v>124.03</v>
      </c>
      <c r="E11" s="18"/>
      <c r="F11" s="18"/>
      <c r="G11" s="18"/>
      <c r="H11" s="18"/>
      <c r="I11" s="18"/>
      <c r="J11" s="18"/>
      <c r="K11" s="155">
        <v>43010</v>
      </c>
      <c r="L11" s="155"/>
      <c r="M11" s="155">
        <f aca="true" t="shared" si="0" ref="M11:M42">+N11</f>
        <v>43025</v>
      </c>
      <c r="N11" s="235">
        <v>43025</v>
      </c>
      <c r="O11" s="157">
        <f aca="true" t="shared" si="1" ref="O11:O42">+M11-K11</f>
        <v>15</v>
      </c>
      <c r="P11" s="157">
        <f aca="true" t="shared" si="2" ref="P11:P42">+N11-M11</f>
        <v>0</v>
      </c>
      <c r="Q11" s="157">
        <f aca="true" t="shared" si="3" ref="Q11:Q42">+N11-K11</f>
        <v>15</v>
      </c>
      <c r="R11" s="157">
        <f aca="true" t="shared" si="4" ref="R11:R42">+O11*D11</f>
        <v>1860.45</v>
      </c>
      <c r="S11" s="157">
        <f aca="true" t="shared" si="5" ref="S11:S42">+P11*D11</f>
        <v>0</v>
      </c>
      <c r="T11" s="158"/>
      <c r="U11" s="158"/>
    </row>
    <row r="12" spans="1:21" s="159" customFormat="1" ht="12.75">
      <c r="A12" s="154" t="s">
        <v>508</v>
      </c>
      <c r="B12" s="155">
        <v>42984</v>
      </c>
      <c r="C12" s="154" t="s">
        <v>509</v>
      </c>
      <c r="D12" s="156">
        <v>309.76</v>
      </c>
      <c r="E12" s="18"/>
      <c r="F12" s="18"/>
      <c r="G12" s="18"/>
      <c r="H12" s="18"/>
      <c r="I12" s="18"/>
      <c r="J12" s="18"/>
      <c r="K12" s="155">
        <v>43010</v>
      </c>
      <c r="L12" s="155"/>
      <c r="M12" s="155">
        <f t="shared" si="0"/>
        <v>43014</v>
      </c>
      <c r="N12" s="235">
        <v>43014</v>
      </c>
      <c r="O12" s="157">
        <f t="shared" si="1"/>
        <v>4</v>
      </c>
      <c r="P12" s="157">
        <f t="shared" si="2"/>
        <v>0</v>
      </c>
      <c r="Q12" s="157">
        <f t="shared" si="3"/>
        <v>4</v>
      </c>
      <c r="R12" s="157">
        <f t="shared" si="4"/>
        <v>1239.04</v>
      </c>
      <c r="S12" s="157">
        <f t="shared" si="5"/>
        <v>0</v>
      </c>
      <c r="T12" s="158"/>
      <c r="U12" s="158"/>
    </row>
    <row r="13" spans="1:21" s="159" customFormat="1" ht="12.75">
      <c r="A13" s="154" t="s">
        <v>510</v>
      </c>
      <c r="B13" s="155">
        <v>43006</v>
      </c>
      <c r="C13" s="154" t="s">
        <v>511</v>
      </c>
      <c r="D13" s="156">
        <v>50.64</v>
      </c>
      <c r="E13" s="18"/>
      <c r="F13" s="18"/>
      <c r="G13" s="18"/>
      <c r="H13" s="18"/>
      <c r="I13" s="18"/>
      <c r="J13" s="18"/>
      <c r="K13" s="155">
        <v>43012</v>
      </c>
      <c r="L13" s="155"/>
      <c r="M13" s="155">
        <f t="shared" si="0"/>
        <v>43025</v>
      </c>
      <c r="N13" s="235">
        <v>43025</v>
      </c>
      <c r="O13" s="157">
        <f t="shared" si="1"/>
        <v>13</v>
      </c>
      <c r="P13" s="157">
        <f t="shared" si="2"/>
        <v>0</v>
      </c>
      <c r="Q13" s="157">
        <f t="shared" si="3"/>
        <v>13</v>
      </c>
      <c r="R13" s="157">
        <f t="shared" si="4"/>
        <v>658.32</v>
      </c>
      <c r="S13" s="157">
        <f t="shared" si="5"/>
        <v>0</v>
      </c>
      <c r="T13" s="158"/>
      <c r="U13" s="158"/>
    </row>
    <row r="14" spans="1:21" s="159" customFormat="1" ht="12.75">
      <c r="A14" s="154" t="s">
        <v>512</v>
      </c>
      <c r="B14" s="155">
        <v>43008</v>
      </c>
      <c r="C14" s="154" t="s">
        <v>513</v>
      </c>
      <c r="D14" s="156">
        <v>2750</v>
      </c>
      <c r="E14" s="18"/>
      <c r="F14" s="18"/>
      <c r="G14" s="18"/>
      <c r="H14" s="18"/>
      <c r="I14" s="18"/>
      <c r="J14" s="18"/>
      <c r="K14" s="155">
        <v>43012</v>
      </c>
      <c r="L14" s="155"/>
      <c r="M14" s="155">
        <f t="shared" si="0"/>
        <v>43025</v>
      </c>
      <c r="N14" s="235">
        <v>43025</v>
      </c>
      <c r="O14" s="157">
        <f t="shared" si="1"/>
        <v>13</v>
      </c>
      <c r="P14" s="157">
        <f t="shared" si="2"/>
        <v>0</v>
      </c>
      <c r="Q14" s="157">
        <f t="shared" si="3"/>
        <v>13</v>
      </c>
      <c r="R14" s="157">
        <f t="shared" si="4"/>
        <v>35750</v>
      </c>
      <c r="S14" s="157">
        <f t="shared" si="5"/>
        <v>0</v>
      </c>
      <c r="T14" s="158"/>
      <c r="U14" s="158"/>
    </row>
    <row r="15" spans="1:21" s="159" customFormat="1" ht="12.75">
      <c r="A15" s="154" t="s">
        <v>514</v>
      </c>
      <c r="B15" s="155">
        <v>43008</v>
      </c>
      <c r="C15" s="154" t="s">
        <v>515</v>
      </c>
      <c r="D15" s="156">
        <v>844.18</v>
      </c>
      <c r="E15" s="18"/>
      <c r="F15" s="18"/>
      <c r="G15" s="18"/>
      <c r="H15" s="18"/>
      <c r="I15" s="18"/>
      <c r="J15" s="18"/>
      <c r="K15" s="155">
        <v>43012</v>
      </c>
      <c r="L15" s="155"/>
      <c r="M15" s="155">
        <f t="shared" si="0"/>
        <v>43025</v>
      </c>
      <c r="N15" s="235">
        <v>43025</v>
      </c>
      <c r="O15" s="157">
        <f t="shared" si="1"/>
        <v>13</v>
      </c>
      <c r="P15" s="157">
        <f t="shared" si="2"/>
        <v>0</v>
      </c>
      <c r="Q15" s="157">
        <f t="shared" si="3"/>
        <v>13</v>
      </c>
      <c r="R15" s="157">
        <f t="shared" si="4"/>
        <v>10974.34</v>
      </c>
      <c r="S15" s="157">
        <f t="shared" si="5"/>
        <v>0</v>
      </c>
      <c r="T15" s="158"/>
      <c r="U15" s="158"/>
    </row>
    <row r="16" spans="1:21" s="161" customFormat="1" ht="12.75">
      <c r="A16" s="154" t="s">
        <v>516</v>
      </c>
      <c r="B16" s="155">
        <v>43007</v>
      </c>
      <c r="C16" s="154" t="s">
        <v>517</v>
      </c>
      <c r="D16" s="156">
        <v>151.25</v>
      </c>
      <c r="E16" s="18"/>
      <c r="F16" s="18"/>
      <c r="G16" s="18"/>
      <c r="H16" s="18"/>
      <c r="I16" s="18"/>
      <c r="J16" s="18"/>
      <c r="K16" s="155">
        <v>43014</v>
      </c>
      <c r="L16" s="155"/>
      <c r="M16" s="155">
        <f t="shared" si="0"/>
        <v>43025</v>
      </c>
      <c r="N16" s="235">
        <v>43025</v>
      </c>
      <c r="O16" s="157">
        <f t="shared" si="1"/>
        <v>11</v>
      </c>
      <c r="P16" s="157">
        <f t="shared" si="2"/>
        <v>0</v>
      </c>
      <c r="Q16" s="157">
        <f t="shared" si="3"/>
        <v>11</v>
      </c>
      <c r="R16" s="157">
        <f t="shared" si="4"/>
        <v>1663.75</v>
      </c>
      <c r="S16" s="157">
        <f t="shared" si="5"/>
        <v>0</v>
      </c>
      <c r="T16" s="160"/>
      <c r="U16" s="160"/>
    </row>
    <row r="17" spans="1:21" s="159" customFormat="1" ht="12.75">
      <c r="A17" s="154" t="s">
        <v>518</v>
      </c>
      <c r="B17" s="155">
        <v>43008</v>
      </c>
      <c r="C17" s="154" t="s">
        <v>519</v>
      </c>
      <c r="D17" s="156">
        <v>1108.17</v>
      </c>
      <c r="E17" s="18"/>
      <c r="F17" s="18"/>
      <c r="G17" s="18"/>
      <c r="H17" s="18"/>
      <c r="I17" s="18"/>
      <c r="J17" s="18"/>
      <c r="K17" s="155">
        <f>M17</f>
        <v>43010</v>
      </c>
      <c r="L17" s="155"/>
      <c r="M17" s="155">
        <f t="shared" si="0"/>
        <v>43010</v>
      </c>
      <c r="N17" s="235">
        <v>43010</v>
      </c>
      <c r="O17" s="157">
        <f t="shared" si="1"/>
        <v>0</v>
      </c>
      <c r="P17" s="157">
        <f t="shared" si="2"/>
        <v>0</v>
      </c>
      <c r="Q17" s="157">
        <f t="shared" si="3"/>
        <v>0</v>
      </c>
      <c r="R17" s="157">
        <f t="shared" si="4"/>
        <v>0</v>
      </c>
      <c r="S17" s="157">
        <f t="shared" si="5"/>
        <v>0</v>
      </c>
      <c r="T17" s="158"/>
      <c r="U17" s="158"/>
    </row>
    <row r="18" spans="1:21" s="159" customFormat="1" ht="12.75">
      <c r="A18" s="154" t="s">
        <v>520</v>
      </c>
      <c r="B18" s="155">
        <v>43008</v>
      </c>
      <c r="C18" s="154" t="s">
        <v>521</v>
      </c>
      <c r="D18" s="156">
        <v>605</v>
      </c>
      <c r="E18" s="18"/>
      <c r="F18" s="18"/>
      <c r="G18" s="18"/>
      <c r="H18" s="18"/>
      <c r="I18" s="18"/>
      <c r="J18" s="18"/>
      <c r="K18" s="155">
        <v>43014</v>
      </c>
      <c r="L18" s="155"/>
      <c r="M18" s="155">
        <f t="shared" si="0"/>
        <v>43025</v>
      </c>
      <c r="N18" s="235">
        <v>43025</v>
      </c>
      <c r="O18" s="157">
        <f t="shared" si="1"/>
        <v>11</v>
      </c>
      <c r="P18" s="157">
        <f t="shared" si="2"/>
        <v>0</v>
      </c>
      <c r="Q18" s="157">
        <f t="shared" si="3"/>
        <v>11</v>
      </c>
      <c r="R18" s="157">
        <f t="shared" si="4"/>
        <v>6655</v>
      </c>
      <c r="S18" s="157">
        <f t="shared" si="5"/>
        <v>0</v>
      </c>
      <c r="T18" s="158"/>
      <c r="U18" s="158"/>
    </row>
    <row r="19" spans="1:21" s="159" customFormat="1" ht="12.75">
      <c r="A19" s="154" t="s">
        <v>522</v>
      </c>
      <c r="B19" s="155">
        <v>42993</v>
      </c>
      <c r="C19" s="154" t="s">
        <v>523</v>
      </c>
      <c r="D19" s="156">
        <v>665.51</v>
      </c>
      <c r="E19" s="18"/>
      <c r="F19" s="18"/>
      <c r="G19" s="18"/>
      <c r="H19" s="18"/>
      <c r="I19" s="18"/>
      <c r="J19" s="18"/>
      <c r="K19" s="155">
        <v>43014</v>
      </c>
      <c r="L19" s="155"/>
      <c r="M19" s="155">
        <f t="shared" si="0"/>
        <v>43025</v>
      </c>
      <c r="N19" s="235">
        <v>43025</v>
      </c>
      <c r="O19" s="157">
        <f t="shared" si="1"/>
        <v>11</v>
      </c>
      <c r="P19" s="157">
        <f t="shared" si="2"/>
        <v>0</v>
      </c>
      <c r="Q19" s="157">
        <f t="shared" si="3"/>
        <v>11</v>
      </c>
      <c r="R19" s="157">
        <f t="shared" si="4"/>
        <v>7320.61</v>
      </c>
      <c r="S19" s="157">
        <f t="shared" si="5"/>
        <v>0</v>
      </c>
      <c r="T19" s="158"/>
      <c r="U19" s="158"/>
    </row>
    <row r="20" spans="1:21" s="161" customFormat="1" ht="12.75">
      <c r="A20" s="154" t="s">
        <v>524</v>
      </c>
      <c r="B20" s="155">
        <v>43008</v>
      </c>
      <c r="C20" s="154" t="s">
        <v>525</v>
      </c>
      <c r="D20" s="156">
        <v>1967.75</v>
      </c>
      <c r="E20" s="18"/>
      <c r="F20" s="18"/>
      <c r="G20" s="18"/>
      <c r="H20" s="18"/>
      <c r="I20" s="18"/>
      <c r="J20" s="18"/>
      <c r="K20" s="155">
        <v>43014</v>
      </c>
      <c r="L20" s="155"/>
      <c r="M20" s="155">
        <f t="shared" si="0"/>
        <v>43025</v>
      </c>
      <c r="N20" s="235">
        <v>43025</v>
      </c>
      <c r="O20" s="157">
        <f t="shared" si="1"/>
        <v>11</v>
      </c>
      <c r="P20" s="157">
        <f t="shared" si="2"/>
        <v>0</v>
      </c>
      <c r="Q20" s="157">
        <f t="shared" si="3"/>
        <v>11</v>
      </c>
      <c r="R20" s="157">
        <f t="shared" si="4"/>
        <v>21645.25</v>
      </c>
      <c r="S20" s="157">
        <f t="shared" si="5"/>
        <v>0</v>
      </c>
      <c r="T20" s="160"/>
      <c r="U20" s="160"/>
    </row>
    <row r="21" spans="1:21" s="161" customFormat="1" ht="12.75">
      <c r="A21" s="154" t="s">
        <v>526</v>
      </c>
      <c r="B21" s="155">
        <v>42998</v>
      </c>
      <c r="C21" s="154" t="s">
        <v>527</v>
      </c>
      <c r="D21" s="156">
        <v>804.65</v>
      </c>
      <c r="E21" s="18"/>
      <c r="F21" s="18"/>
      <c r="G21" s="18"/>
      <c r="H21" s="18"/>
      <c r="I21" s="18"/>
      <c r="J21" s="18"/>
      <c r="K21" s="155">
        <v>43014</v>
      </c>
      <c r="L21" s="155"/>
      <c r="M21" s="155">
        <f t="shared" si="0"/>
        <v>43025</v>
      </c>
      <c r="N21" s="235">
        <v>43025</v>
      </c>
      <c r="O21" s="157">
        <f t="shared" si="1"/>
        <v>11</v>
      </c>
      <c r="P21" s="157">
        <f t="shared" si="2"/>
        <v>0</v>
      </c>
      <c r="Q21" s="157">
        <f t="shared" si="3"/>
        <v>11</v>
      </c>
      <c r="R21" s="157">
        <f t="shared" si="4"/>
        <v>8851.15</v>
      </c>
      <c r="S21" s="157">
        <f t="shared" si="5"/>
        <v>0</v>
      </c>
      <c r="T21" s="160"/>
      <c r="U21" s="160"/>
    </row>
    <row r="22" spans="1:141" s="18" customFormat="1" ht="12.75">
      <c r="A22" s="154" t="s">
        <v>528</v>
      </c>
      <c r="B22" s="155">
        <v>43008</v>
      </c>
      <c r="C22" s="154" t="s">
        <v>529</v>
      </c>
      <c r="D22" s="156">
        <v>2911.95</v>
      </c>
      <c r="K22" s="155">
        <v>43017</v>
      </c>
      <c r="L22" s="155"/>
      <c r="M22" s="155">
        <f t="shared" si="0"/>
        <v>43025</v>
      </c>
      <c r="N22" s="235">
        <v>43025</v>
      </c>
      <c r="O22" s="157">
        <f t="shared" si="1"/>
        <v>8</v>
      </c>
      <c r="P22" s="157">
        <f t="shared" si="2"/>
        <v>0</v>
      </c>
      <c r="Q22" s="157">
        <f t="shared" si="3"/>
        <v>8</v>
      </c>
      <c r="R22" s="157">
        <f t="shared" si="4"/>
        <v>23295.6</v>
      </c>
      <c r="S22" s="157">
        <f t="shared" si="5"/>
        <v>0</v>
      </c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</row>
    <row r="23" spans="1:141" s="18" customFormat="1" ht="12.75">
      <c r="A23" s="154" t="s">
        <v>530</v>
      </c>
      <c r="B23" s="155">
        <v>43006</v>
      </c>
      <c r="C23" s="154" t="s">
        <v>531</v>
      </c>
      <c r="D23" s="156">
        <v>365.7</v>
      </c>
      <c r="K23" s="155">
        <v>43017</v>
      </c>
      <c r="L23" s="155"/>
      <c r="M23" s="155">
        <f t="shared" si="0"/>
        <v>43025</v>
      </c>
      <c r="N23" s="235">
        <v>43025</v>
      </c>
      <c r="O23" s="157">
        <f t="shared" si="1"/>
        <v>8</v>
      </c>
      <c r="P23" s="157">
        <f t="shared" si="2"/>
        <v>0</v>
      </c>
      <c r="Q23" s="157">
        <f t="shared" si="3"/>
        <v>8</v>
      </c>
      <c r="R23" s="157">
        <f t="shared" si="4"/>
        <v>2925.6</v>
      </c>
      <c r="S23" s="157">
        <f t="shared" si="5"/>
        <v>0</v>
      </c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</row>
    <row r="24" spans="1:141" s="18" customFormat="1" ht="12.75">
      <c r="A24" s="154" t="s">
        <v>532</v>
      </c>
      <c r="B24" s="155">
        <v>42946</v>
      </c>
      <c r="C24" s="154" t="s">
        <v>533</v>
      </c>
      <c r="D24" s="156">
        <v>256.2</v>
      </c>
      <c r="K24" s="155">
        <v>43017</v>
      </c>
      <c r="L24" s="155"/>
      <c r="M24" s="155">
        <f t="shared" si="0"/>
        <v>43025</v>
      </c>
      <c r="N24" s="235">
        <v>43025</v>
      </c>
      <c r="O24" s="157">
        <f t="shared" si="1"/>
        <v>8</v>
      </c>
      <c r="P24" s="157">
        <f t="shared" si="2"/>
        <v>0</v>
      </c>
      <c r="Q24" s="157">
        <f t="shared" si="3"/>
        <v>8</v>
      </c>
      <c r="R24" s="157">
        <f t="shared" si="4"/>
        <v>2049.6</v>
      </c>
      <c r="S24" s="157">
        <f t="shared" si="5"/>
        <v>0</v>
      </c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</row>
    <row r="25" spans="1:141" s="18" customFormat="1" ht="12.75">
      <c r="A25" s="154" t="s">
        <v>534</v>
      </c>
      <c r="B25" s="155">
        <v>43008</v>
      </c>
      <c r="C25" s="154" t="s">
        <v>535</v>
      </c>
      <c r="D25" s="156">
        <v>259.1</v>
      </c>
      <c r="K25" s="155">
        <v>43017</v>
      </c>
      <c r="L25" s="155"/>
      <c r="M25" s="155">
        <f t="shared" si="0"/>
        <v>43025</v>
      </c>
      <c r="N25" s="235">
        <v>43025</v>
      </c>
      <c r="O25" s="157">
        <f t="shared" si="1"/>
        <v>8</v>
      </c>
      <c r="P25" s="157">
        <f t="shared" si="2"/>
        <v>0</v>
      </c>
      <c r="Q25" s="157">
        <f t="shared" si="3"/>
        <v>8</v>
      </c>
      <c r="R25" s="157">
        <f t="shared" si="4"/>
        <v>2072.8</v>
      </c>
      <c r="S25" s="157">
        <f t="shared" si="5"/>
        <v>0</v>
      </c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</row>
    <row r="26" spans="1:141" s="18" customFormat="1" ht="12.75">
      <c r="A26" s="154" t="s">
        <v>536</v>
      </c>
      <c r="B26" s="155">
        <v>42996</v>
      </c>
      <c r="C26" s="154" t="s">
        <v>537</v>
      </c>
      <c r="D26" s="156">
        <v>66.6</v>
      </c>
      <c r="K26" s="155">
        <v>43017</v>
      </c>
      <c r="L26" s="155"/>
      <c r="M26" s="155">
        <f t="shared" si="0"/>
        <v>43025</v>
      </c>
      <c r="N26" s="235">
        <v>43025</v>
      </c>
      <c r="O26" s="157">
        <f t="shared" si="1"/>
        <v>8</v>
      </c>
      <c r="P26" s="157">
        <f t="shared" si="2"/>
        <v>0</v>
      </c>
      <c r="Q26" s="157">
        <f t="shared" si="3"/>
        <v>8</v>
      </c>
      <c r="R26" s="157">
        <f t="shared" si="4"/>
        <v>532.8</v>
      </c>
      <c r="S26" s="157">
        <f t="shared" si="5"/>
        <v>0</v>
      </c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</row>
    <row r="27" spans="1:141" s="18" customFormat="1" ht="12.75">
      <c r="A27" s="154" t="s">
        <v>538</v>
      </c>
      <c r="B27" s="155">
        <v>42992</v>
      </c>
      <c r="C27" s="154" t="s">
        <v>539</v>
      </c>
      <c r="D27" s="156">
        <v>114.82</v>
      </c>
      <c r="K27" s="155">
        <v>43017</v>
      </c>
      <c r="L27" s="155"/>
      <c r="M27" s="155">
        <f t="shared" si="0"/>
        <v>43025</v>
      </c>
      <c r="N27" s="235">
        <v>43025</v>
      </c>
      <c r="O27" s="157">
        <f t="shared" si="1"/>
        <v>8</v>
      </c>
      <c r="P27" s="157">
        <f t="shared" si="2"/>
        <v>0</v>
      </c>
      <c r="Q27" s="157">
        <f t="shared" si="3"/>
        <v>8</v>
      </c>
      <c r="R27" s="157">
        <f t="shared" si="4"/>
        <v>918.56</v>
      </c>
      <c r="S27" s="157">
        <f t="shared" si="5"/>
        <v>0</v>
      </c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</row>
    <row r="28" spans="1:141" s="18" customFormat="1" ht="12.75">
      <c r="A28" s="154" t="s">
        <v>540</v>
      </c>
      <c r="B28" s="155">
        <v>42998</v>
      </c>
      <c r="C28" s="154" t="s">
        <v>541</v>
      </c>
      <c r="D28" s="156">
        <v>18.5</v>
      </c>
      <c r="K28" s="155">
        <v>43017</v>
      </c>
      <c r="L28" s="155"/>
      <c r="M28" s="155">
        <f t="shared" si="0"/>
        <v>43025</v>
      </c>
      <c r="N28" s="235">
        <v>43025</v>
      </c>
      <c r="O28" s="157">
        <f t="shared" si="1"/>
        <v>8</v>
      </c>
      <c r="P28" s="157">
        <f t="shared" si="2"/>
        <v>0</v>
      </c>
      <c r="Q28" s="157">
        <f t="shared" si="3"/>
        <v>8</v>
      </c>
      <c r="R28" s="157">
        <f t="shared" si="4"/>
        <v>148</v>
      </c>
      <c r="S28" s="157">
        <f t="shared" si="5"/>
        <v>0</v>
      </c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</row>
    <row r="29" spans="1:141" s="18" customFormat="1" ht="12.75">
      <c r="A29" s="154" t="s">
        <v>542</v>
      </c>
      <c r="B29" s="155">
        <v>43003</v>
      </c>
      <c r="C29" s="154" t="s">
        <v>543</v>
      </c>
      <c r="D29" s="156">
        <v>484</v>
      </c>
      <c r="K29" s="155">
        <v>43017</v>
      </c>
      <c r="L29" s="155"/>
      <c r="M29" s="155">
        <f t="shared" si="0"/>
        <v>43025</v>
      </c>
      <c r="N29" s="235">
        <v>43025</v>
      </c>
      <c r="O29" s="157">
        <f t="shared" si="1"/>
        <v>8</v>
      </c>
      <c r="P29" s="157">
        <f t="shared" si="2"/>
        <v>0</v>
      </c>
      <c r="Q29" s="157">
        <f t="shared" si="3"/>
        <v>8</v>
      </c>
      <c r="R29" s="157">
        <f t="shared" si="4"/>
        <v>3872</v>
      </c>
      <c r="S29" s="157">
        <f t="shared" si="5"/>
        <v>0</v>
      </c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</row>
    <row r="30" spans="1:141" s="18" customFormat="1" ht="12.75">
      <c r="A30" s="154" t="s">
        <v>544</v>
      </c>
      <c r="B30" s="155">
        <v>43008</v>
      </c>
      <c r="C30" s="154" t="s">
        <v>545</v>
      </c>
      <c r="D30" s="156">
        <v>1136.37</v>
      </c>
      <c r="K30" s="155">
        <v>43017</v>
      </c>
      <c r="L30" s="155"/>
      <c r="M30" s="155">
        <f t="shared" si="0"/>
        <v>43025</v>
      </c>
      <c r="N30" s="235">
        <v>43025</v>
      </c>
      <c r="O30" s="157">
        <f t="shared" si="1"/>
        <v>8</v>
      </c>
      <c r="P30" s="157">
        <f t="shared" si="2"/>
        <v>0</v>
      </c>
      <c r="Q30" s="157">
        <f t="shared" si="3"/>
        <v>8</v>
      </c>
      <c r="R30" s="157">
        <f t="shared" si="4"/>
        <v>9090.96</v>
      </c>
      <c r="S30" s="157">
        <f t="shared" si="5"/>
        <v>0</v>
      </c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</row>
    <row r="31" spans="1:141" s="18" customFormat="1" ht="12.75">
      <c r="A31" s="154" t="s">
        <v>546</v>
      </c>
      <c r="B31" s="155">
        <v>42993</v>
      </c>
      <c r="C31" s="154" t="s">
        <v>547</v>
      </c>
      <c r="D31" s="156">
        <v>1245.5</v>
      </c>
      <c r="K31" s="155">
        <v>43017</v>
      </c>
      <c r="L31" s="155"/>
      <c r="M31" s="155">
        <f t="shared" si="0"/>
        <v>43025</v>
      </c>
      <c r="N31" s="235">
        <v>43025</v>
      </c>
      <c r="O31" s="157">
        <f t="shared" si="1"/>
        <v>8</v>
      </c>
      <c r="P31" s="157">
        <f t="shared" si="2"/>
        <v>0</v>
      </c>
      <c r="Q31" s="157">
        <f t="shared" si="3"/>
        <v>8</v>
      </c>
      <c r="R31" s="157">
        <f t="shared" si="4"/>
        <v>9964</v>
      </c>
      <c r="S31" s="157">
        <f t="shared" si="5"/>
        <v>0</v>
      </c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</row>
    <row r="32" spans="1:141" s="18" customFormat="1" ht="12.75">
      <c r="A32" s="154" t="s">
        <v>548</v>
      </c>
      <c r="B32" s="155">
        <v>43008</v>
      </c>
      <c r="C32" s="154" t="s">
        <v>549</v>
      </c>
      <c r="D32" s="156">
        <v>222.04</v>
      </c>
      <c r="K32" s="155">
        <f>M32</f>
        <v>43010</v>
      </c>
      <c r="L32" s="155"/>
      <c r="M32" s="155">
        <f t="shared" si="0"/>
        <v>43010</v>
      </c>
      <c r="N32" s="235">
        <v>43010</v>
      </c>
      <c r="O32" s="157">
        <f t="shared" si="1"/>
        <v>0</v>
      </c>
      <c r="P32" s="157">
        <f t="shared" si="2"/>
        <v>0</v>
      </c>
      <c r="Q32" s="157">
        <f t="shared" si="3"/>
        <v>0</v>
      </c>
      <c r="R32" s="157">
        <f t="shared" si="4"/>
        <v>0</v>
      </c>
      <c r="S32" s="157">
        <f t="shared" si="5"/>
        <v>0</v>
      </c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</row>
    <row r="33" spans="1:141" s="18" customFormat="1" ht="12.75">
      <c r="A33" s="154" t="s">
        <v>550</v>
      </c>
      <c r="B33" s="155">
        <v>43008</v>
      </c>
      <c r="C33" s="154" t="s">
        <v>551</v>
      </c>
      <c r="D33" s="156">
        <v>1668.35</v>
      </c>
      <c r="K33" s="155">
        <f>M33</f>
        <v>43010</v>
      </c>
      <c r="L33" s="155"/>
      <c r="M33" s="155">
        <f t="shared" si="0"/>
        <v>43010</v>
      </c>
      <c r="N33" s="235">
        <v>43010</v>
      </c>
      <c r="O33" s="157">
        <f t="shared" si="1"/>
        <v>0</v>
      </c>
      <c r="P33" s="157">
        <f t="shared" si="2"/>
        <v>0</v>
      </c>
      <c r="Q33" s="157">
        <f t="shared" si="3"/>
        <v>0</v>
      </c>
      <c r="R33" s="157">
        <f t="shared" si="4"/>
        <v>0</v>
      </c>
      <c r="S33" s="157">
        <f t="shared" si="5"/>
        <v>0</v>
      </c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</row>
    <row r="34" spans="1:141" s="18" customFormat="1" ht="12.75">
      <c r="A34" s="154" t="s">
        <v>552</v>
      </c>
      <c r="B34" s="155">
        <v>42984</v>
      </c>
      <c r="C34" s="154" t="s">
        <v>553</v>
      </c>
      <c r="D34" s="156">
        <v>1234.03</v>
      </c>
      <c r="K34" s="155">
        <v>43017</v>
      </c>
      <c r="L34" s="155"/>
      <c r="M34" s="155">
        <f t="shared" si="0"/>
        <v>43025</v>
      </c>
      <c r="N34" s="235">
        <v>43025</v>
      </c>
      <c r="O34" s="157">
        <f t="shared" si="1"/>
        <v>8</v>
      </c>
      <c r="P34" s="157">
        <f t="shared" si="2"/>
        <v>0</v>
      </c>
      <c r="Q34" s="157">
        <f t="shared" si="3"/>
        <v>8</v>
      </c>
      <c r="R34" s="157">
        <f t="shared" si="4"/>
        <v>9872.24</v>
      </c>
      <c r="S34" s="157">
        <f t="shared" si="5"/>
        <v>0</v>
      </c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</row>
    <row r="35" spans="1:141" s="18" customFormat="1" ht="12.75">
      <c r="A35" s="154" t="s">
        <v>554</v>
      </c>
      <c r="B35" s="155">
        <v>43008</v>
      </c>
      <c r="C35" s="154" t="s">
        <v>555</v>
      </c>
      <c r="D35" s="156">
        <v>605</v>
      </c>
      <c r="K35" s="155">
        <v>43018</v>
      </c>
      <c r="L35" s="155"/>
      <c r="M35" s="155">
        <f t="shared" si="0"/>
        <v>43025</v>
      </c>
      <c r="N35" s="235">
        <v>43025</v>
      </c>
      <c r="O35" s="157">
        <f t="shared" si="1"/>
        <v>7</v>
      </c>
      <c r="P35" s="157">
        <f t="shared" si="2"/>
        <v>0</v>
      </c>
      <c r="Q35" s="157">
        <f t="shared" si="3"/>
        <v>7</v>
      </c>
      <c r="R35" s="157">
        <f t="shared" si="4"/>
        <v>4235</v>
      </c>
      <c r="S35" s="157">
        <f t="shared" si="5"/>
        <v>0</v>
      </c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</row>
    <row r="36" spans="1:141" s="18" customFormat="1" ht="12.75">
      <c r="A36" s="154" t="s">
        <v>556</v>
      </c>
      <c r="B36" s="155">
        <v>43007</v>
      </c>
      <c r="C36" s="154" t="s">
        <v>557</v>
      </c>
      <c r="D36" s="156">
        <v>223.85</v>
      </c>
      <c r="K36" s="155">
        <v>43019</v>
      </c>
      <c r="L36" s="155"/>
      <c r="M36" s="155">
        <f t="shared" si="0"/>
        <v>43025</v>
      </c>
      <c r="N36" s="235">
        <v>43025</v>
      </c>
      <c r="O36" s="157">
        <f t="shared" si="1"/>
        <v>6</v>
      </c>
      <c r="P36" s="157">
        <f t="shared" si="2"/>
        <v>0</v>
      </c>
      <c r="Q36" s="157">
        <f t="shared" si="3"/>
        <v>6</v>
      </c>
      <c r="R36" s="157">
        <f t="shared" si="4"/>
        <v>1343.1</v>
      </c>
      <c r="S36" s="157">
        <f t="shared" si="5"/>
        <v>0</v>
      </c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</row>
    <row r="37" spans="1:141" s="18" customFormat="1" ht="12.75">
      <c r="A37" s="154" t="s">
        <v>558</v>
      </c>
      <c r="B37" s="155">
        <v>43006</v>
      </c>
      <c r="C37" s="154" t="s">
        <v>559</v>
      </c>
      <c r="D37" s="156">
        <v>3033.53</v>
      </c>
      <c r="K37" s="155">
        <f>M37</f>
        <v>43010</v>
      </c>
      <c r="L37" s="155"/>
      <c r="M37" s="155">
        <f t="shared" si="0"/>
        <v>43010</v>
      </c>
      <c r="N37" s="235">
        <v>43010</v>
      </c>
      <c r="O37" s="157">
        <f t="shared" si="1"/>
        <v>0</v>
      </c>
      <c r="P37" s="157">
        <f t="shared" si="2"/>
        <v>0</v>
      </c>
      <c r="Q37" s="157">
        <f t="shared" si="3"/>
        <v>0</v>
      </c>
      <c r="R37" s="157">
        <f t="shared" si="4"/>
        <v>0</v>
      </c>
      <c r="S37" s="157">
        <f t="shared" si="5"/>
        <v>0</v>
      </c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</row>
    <row r="38" spans="1:141" s="18" customFormat="1" ht="12.75">
      <c r="A38" s="154" t="s">
        <v>560</v>
      </c>
      <c r="B38" s="155">
        <v>43008</v>
      </c>
      <c r="C38" s="154" t="s">
        <v>561</v>
      </c>
      <c r="D38" s="156">
        <v>605</v>
      </c>
      <c r="K38" s="155">
        <v>43019</v>
      </c>
      <c r="L38" s="155"/>
      <c r="M38" s="155">
        <f t="shared" si="0"/>
        <v>43025</v>
      </c>
      <c r="N38" s="235">
        <v>43025</v>
      </c>
      <c r="O38" s="157">
        <f t="shared" si="1"/>
        <v>6</v>
      </c>
      <c r="P38" s="157">
        <f t="shared" si="2"/>
        <v>0</v>
      </c>
      <c r="Q38" s="157">
        <f t="shared" si="3"/>
        <v>6</v>
      </c>
      <c r="R38" s="157">
        <f t="shared" si="4"/>
        <v>3630</v>
      </c>
      <c r="S38" s="157">
        <f t="shared" si="5"/>
        <v>0</v>
      </c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</row>
    <row r="39" spans="1:141" s="18" customFormat="1" ht="12.75">
      <c r="A39" s="154" t="s">
        <v>562</v>
      </c>
      <c r="B39" s="155">
        <v>43008</v>
      </c>
      <c r="C39" s="154" t="s">
        <v>563</v>
      </c>
      <c r="D39" s="156">
        <v>445.53</v>
      </c>
      <c r="K39" s="155">
        <v>43024</v>
      </c>
      <c r="L39" s="155"/>
      <c r="M39" s="155">
        <f t="shared" si="0"/>
        <v>43025</v>
      </c>
      <c r="N39" s="235">
        <v>43025</v>
      </c>
      <c r="O39" s="157">
        <f t="shared" si="1"/>
        <v>1</v>
      </c>
      <c r="P39" s="157">
        <f t="shared" si="2"/>
        <v>0</v>
      </c>
      <c r="Q39" s="157">
        <f t="shared" si="3"/>
        <v>1</v>
      </c>
      <c r="R39" s="157">
        <f t="shared" si="4"/>
        <v>445.53</v>
      </c>
      <c r="S39" s="157">
        <f t="shared" si="5"/>
        <v>0</v>
      </c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</row>
    <row r="40" spans="1:141" s="18" customFormat="1" ht="12.75">
      <c r="A40" s="154" t="s">
        <v>564</v>
      </c>
      <c r="B40" s="155">
        <v>42944</v>
      </c>
      <c r="C40" s="154" t="s">
        <v>565</v>
      </c>
      <c r="D40" s="156">
        <v>419.02</v>
      </c>
      <c r="K40" s="155">
        <v>43024</v>
      </c>
      <c r="L40" s="155"/>
      <c r="M40" s="155">
        <f t="shared" si="0"/>
        <v>43025</v>
      </c>
      <c r="N40" s="235">
        <v>43025</v>
      </c>
      <c r="O40" s="157">
        <f t="shared" si="1"/>
        <v>1</v>
      </c>
      <c r="P40" s="157">
        <f t="shared" si="2"/>
        <v>0</v>
      </c>
      <c r="Q40" s="157">
        <f t="shared" si="3"/>
        <v>1</v>
      </c>
      <c r="R40" s="157">
        <f t="shared" si="4"/>
        <v>419.02</v>
      </c>
      <c r="S40" s="157">
        <f t="shared" si="5"/>
        <v>0</v>
      </c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</row>
    <row r="41" spans="1:141" s="18" customFormat="1" ht="12.75">
      <c r="A41" s="154" t="s">
        <v>566</v>
      </c>
      <c r="B41" s="155">
        <v>43008</v>
      </c>
      <c r="C41" s="154" t="s">
        <v>567</v>
      </c>
      <c r="D41" s="156">
        <v>1040.6</v>
      </c>
      <c r="K41" s="155">
        <v>43024</v>
      </c>
      <c r="L41" s="155"/>
      <c r="M41" s="155">
        <f t="shared" si="0"/>
        <v>43025</v>
      </c>
      <c r="N41" s="235">
        <v>43025</v>
      </c>
      <c r="O41" s="157">
        <f t="shared" si="1"/>
        <v>1</v>
      </c>
      <c r="P41" s="157">
        <f t="shared" si="2"/>
        <v>0</v>
      </c>
      <c r="Q41" s="157">
        <f t="shared" si="3"/>
        <v>1</v>
      </c>
      <c r="R41" s="157">
        <f t="shared" si="4"/>
        <v>1040.6</v>
      </c>
      <c r="S41" s="157">
        <f t="shared" si="5"/>
        <v>0</v>
      </c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</row>
    <row r="42" spans="1:141" s="18" customFormat="1" ht="12.75">
      <c r="A42" s="154" t="s">
        <v>568</v>
      </c>
      <c r="B42" s="155">
        <v>43008</v>
      </c>
      <c r="C42" s="154" t="s">
        <v>569</v>
      </c>
      <c r="D42" s="156">
        <v>43.56</v>
      </c>
      <c r="K42" s="155">
        <v>43024</v>
      </c>
      <c r="L42" s="155"/>
      <c r="M42" s="155">
        <f t="shared" si="0"/>
        <v>43025</v>
      </c>
      <c r="N42" s="235">
        <v>43025</v>
      </c>
      <c r="O42" s="157">
        <f t="shared" si="1"/>
        <v>1</v>
      </c>
      <c r="P42" s="157">
        <f t="shared" si="2"/>
        <v>0</v>
      </c>
      <c r="Q42" s="157">
        <f t="shared" si="3"/>
        <v>1</v>
      </c>
      <c r="R42" s="157">
        <f t="shared" si="4"/>
        <v>43.56</v>
      </c>
      <c r="S42" s="157">
        <f t="shared" si="5"/>
        <v>0</v>
      </c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</row>
    <row r="43" spans="1:141" s="18" customFormat="1" ht="12.75">
      <c r="A43" s="154" t="s">
        <v>570</v>
      </c>
      <c r="B43" s="155">
        <v>43008</v>
      </c>
      <c r="C43" s="154" t="s">
        <v>571</v>
      </c>
      <c r="D43" s="156">
        <v>2032.84</v>
      </c>
      <c r="K43" s="155">
        <v>43013</v>
      </c>
      <c r="L43" s="155"/>
      <c r="M43" s="155"/>
      <c r="N43" s="235"/>
      <c r="O43" s="157"/>
      <c r="P43" s="157"/>
      <c r="Q43" s="157"/>
      <c r="R43" s="157"/>
      <c r="S43" s="157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</row>
    <row r="44" spans="1:141" s="18" customFormat="1" ht="12.75">
      <c r="A44" s="154" t="s">
        <v>572</v>
      </c>
      <c r="B44" s="155">
        <v>43006</v>
      </c>
      <c r="C44" s="154" t="s">
        <v>573</v>
      </c>
      <c r="D44" s="156">
        <v>15.08</v>
      </c>
      <c r="K44" s="155">
        <v>43014</v>
      </c>
      <c r="L44" s="155"/>
      <c r="M44" s="155"/>
      <c r="N44" s="235"/>
      <c r="O44" s="157"/>
      <c r="P44" s="157"/>
      <c r="Q44" s="157"/>
      <c r="R44" s="157"/>
      <c r="S44" s="157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</row>
    <row r="45" spans="1:141" s="18" customFormat="1" ht="12.75">
      <c r="A45" s="154" t="s">
        <v>574</v>
      </c>
      <c r="B45" s="155">
        <v>43006</v>
      </c>
      <c r="C45" s="154" t="s">
        <v>575</v>
      </c>
      <c r="D45" s="156">
        <v>14.94</v>
      </c>
      <c r="K45" s="155">
        <v>43014</v>
      </c>
      <c r="L45" s="155"/>
      <c r="M45" s="155"/>
      <c r="N45" s="235"/>
      <c r="O45" s="157"/>
      <c r="P45" s="157"/>
      <c r="Q45" s="157"/>
      <c r="R45" s="157"/>
      <c r="S45" s="157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</row>
    <row r="46" spans="1:141" s="18" customFormat="1" ht="12.75">
      <c r="A46" s="154" t="s">
        <v>576</v>
      </c>
      <c r="B46" s="155">
        <v>43006</v>
      </c>
      <c r="C46" s="154" t="s">
        <v>577</v>
      </c>
      <c r="D46" s="156">
        <v>19.74</v>
      </c>
      <c r="K46" s="155">
        <v>43014</v>
      </c>
      <c r="L46" s="155"/>
      <c r="M46" s="155"/>
      <c r="N46" s="235"/>
      <c r="O46" s="157"/>
      <c r="P46" s="157"/>
      <c r="Q46" s="157"/>
      <c r="R46" s="157"/>
      <c r="S46" s="157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</row>
    <row r="47" spans="1:141" s="18" customFormat="1" ht="12.75">
      <c r="A47" s="154" t="s">
        <v>578</v>
      </c>
      <c r="B47" s="155">
        <v>43006</v>
      </c>
      <c r="C47" s="154" t="s">
        <v>579</v>
      </c>
      <c r="D47" s="156">
        <v>16.26</v>
      </c>
      <c r="K47" s="155">
        <v>43014</v>
      </c>
      <c r="L47" s="155"/>
      <c r="M47" s="155"/>
      <c r="N47" s="235"/>
      <c r="O47" s="157"/>
      <c r="P47" s="157"/>
      <c r="Q47" s="157"/>
      <c r="R47" s="157"/>
      <c r="S47" s="157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</row>
    <row r="48" spans="1:141" s="18" customFormat="1" ht="12.75">
      <c r="A48" s="154" t="s">
        <v>580</v>
      </c>
      <c r="B48" s="155">
        <v>43006</v>
      </c>
      <c r="C48" s="154" t="s">
        <v>581</v>
      </c>
      <c r="D48" s="156">
        <v>35.85</v>
      </c>
      <c r="K48" s="155">
        <v>43014</v>
      </c>
      <c r="L48" s="155"/>
      <c r="M48" s="155"/>
      <c r="N48" s="235"/>
      <c r="O48" s="157"/>
      <c r="P48" s="157"/>
      <c r="Q48" s="157"/>
      <c r="R48" s="157"/>
      <c r="S48" s="157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</row>
    <row r="49" spans="1:141" s="18" customFormat="1" ht="12.75">
      <c r="A49" s="154" t="s">
        <v>582</v>
      </c>
      <c r="B49" s="155">
        <v>43006</v>
      </c>
      <c r="C49" s="154" t="s">
        <v>583</v>
      </c>
      <c r="D49" s="156">
        <v>31.1</v>
      </c>
      <c r="K49" s="155">
        <v>43014</v>
      </c>
      <c r="L49" s="155"/>
      <c r="M49" s="155"/>
      <c r="N49" s="235"/>
      <c r="O49" s="157"/>
      <c r="P49" s="157"/>
      <c r="Q49" s="157"/>
      <c r="R49" s="157"/>
      <c r="S49" s="157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</row>
    <row r="50" spans="1:141" s="18" customFormat="1" ht="12.75">
      <c r="A50" s="154" t="s">
        <v>584</v>
      </c>
      <c r="B50" s="155">
        <v>43006</v>
      </c>
      <c r="C50" s="154" t="s">
        <v>585</v>
      </c>
      <c r="D50" s="156">
        <v>32.39</v>
      </c>
      <c r="K50" s="155">
        <v>43014</v>
      </c>
      <c r="L50" s="155"/>
      <c r="M50" s="155"/>
      <c r="N50" s="235"/>
      <c r="O50" s="157"/>
      <c r="P50" s="157"/>
      <c r="Q50" s="157"/>
      <c r="R50" s="157"/>
      <c r="S50" s="157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</row>
    <row r="51" spans="1:141" s="18" customFormat="1" ht="12.75">
      <c r="A51" s="154" t="s">
        <v>586</v>
      </c>
      <c r="B51" s="155">
        <v>43006</v>
      </c>
      <c r="C51" s="154" t="s">
        <v>587</v>
      </c>
      <c r="D51" s="156">
        <v>395.67</v>
      </c>
      <c r="K51" s="155">
        <v>43017</v>
      </c>
      <c r="L51" s="155"/>
      <c r="M51" s="155"/>
      <c r="N51" s="235"/>
      <c r="O51" s="157"/>
      <c r="P51" s="157"/>
      <c r="Q51" s="157"/>
      <c r="R51" s="157"/>
      <c r="S51" s="157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</row>
    <row r="52" spans="1:141" s="18" customFormat="1" ht="12.75">
      <c r="A52" s="154" t="s">
        <v>588</v>
      </c>
      <c r="B52" s="155">
        <v>43008</v>
      </c>
      <c r="C52" s="154" t="s">
        <v>589</v>
      </c>
      <c r="D52" s="156">
        <v>378.13</v>
      </c>
      <c r="K52" s="155">
        <v>43017</v>
      </c>
      <c r="L52" s="155"/>
      <c r="M52" s="155"/>
      <c r="N52" s="235"/>
      <c r="O52" s="157"/>
      <c r="P52" s="157"/>
      <c r="Q52" s="157"/>
      <c r="R52" s="157"/>
      <c r="S52" s="157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</row>
    <row r="53" spans="1:141" s="18" customFormat="1" ht="12.75">
      <c r="A53" s="154" t="s">
        <v>590</v>
      </c>
      <c r="B53" s="155">
        <v>43008</v>
      </c>
      <c r="C53" s="154" t="s">
        <v>591</v>
      </c>
      <c r="D53" s="156">
        <v>20.42</v>
      </c>
      <c r="K53" s="155">
        <v>43017</v>
      </c>
      <c r="L53" s="155"/>
      <c r="M53" s="155"/>
      <c r="N53" s="235"/>
      <c r="O53" s="157"/>
      <c r="P53" s="157"/>
      <c r="Q53" s="157"/>
      <c r="R53" s="157"/>
      <c r="S53" s="157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</row>
    <row r="54" spans="1:141" s="18" customFormat="1" ht="12.75">
      <c r="A54" s="154" t="s">
        <v>592</v>
      </c>
      <c r="B54" s="155">
        <v>43006</v>
      </c>
      <c r="C54" s="154" t="s">
        <v>593</v>
      </c>
      <c r="D54" s="156">
        <v>265.27</v>
      </c>
      <c r="K54" s="155">
        <v>43017</v>
      </c>
      <c r="L54" s="155"/>
      <c r="M54" s="155"/>
      <c r="N54" s="235"/>
      <c r="O54" s="157"/>
      <c r="P54" s="157"/>
      <c r="Q54" s="157"/>
      <c r="R54" s="157"/>
      <c r="S54" s="157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</row>
    <row r="55" spans="1:141" s="18" customFormat="1" ht="12.75">
      <c r="A55" s="154" t="s">
        <v>594</v>
      </c>
      <c r="B55" s="155">
        <v>43006</v>
      </c>
      <c r="C55" s="154" t="s">
        <v>595</v>
      </c>
      <c r="D55" s="156">
        <v>358.38</v>
      </c>
      <c r="K55" s="155">
        <v>43017</v>
      </c>
      <c r="L55" s="155"/>
      <c r="M55" s="155"/>
      <c r="N55" s="235"/>
      <c r="O55" s="157"/>
      <c r="P55" s="157"/>
      <c r="Q55" s="157"/>
      <c r="R55" s="157"/>
      <c r="S55" s="157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</row>
    <row r="56" spans="1:141" s="18" customFormat="1" ht="12.75">
      <c r="A56" s="154" t="s">
        <v>596</v>
      </c>
      <c r="B56" s="155">
        <v>43006</v>
      </c>
      <c r="C56" s="154" t="s">
        <v>597</v>
      </c>
      <c r="D56" s="156">
        <v>476.41</v>
      </c>
      <c r="K56" s="155">
        <v>43018</v>
      </c>
      <c r="L56" s="155"/>
      <c r="M56" s="155"/>
      <c r="N56" s="235"/>
      <c r="O56" s="157"/>
      <c r="P56" s="157"/>
      <c r="Q56" s="157"/>
      <c r="R56" s="157"/>
      <c r="S56" s="157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</row>
    <row r="57" spans="1:141" s="18" customFormat="1" ht="12.75">
      <c r="A57" s="154" t="s">
        <v>598</v>
      </c>
      <c r="B57" s="155">
        <v>43008</v>
      </c>
      <c r="C57" s="154" t="s">
        <v>599</v>
      </c>
      <c r="D57" s="156">
        <v>760</v>
      </c>
      <c r="K57" s="155">
        <v>43019</v>
      </c>
      <c r="L57" s="155"/>
      <c r="M57" s="155"/>
      <c r="N57" s="235"/>
      <c r="O57" s="157"/>
      <c r="P57" s="157"/>
      <c r="Q57" s="157"/>
      <c r="R57" s="157"/>
      <c r="S57" s="157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</row>
    <row r="58" spans="1:141" s="18" customFormat="1" ht="12.75">
      <c r="A58" s="154" t="s">
        <v>600</v>
      </c>
      <c r="B58" s="155">
        <v>43008</v>
      </c>
      <c r="C58" s="154" t="s">
        <v>601</v>
      </c>
      <c r="D58" s="156">
        <v>107.91</v>
      </c>
      <c r="K58" s="155">
        <v>43019</v>
      </c>
      <c r="L58" s="155"/>
      <c r="M58" s="155"/>
      <c r="N58" s="235"/>
      <c r="O58" s="157"/>
      <c r="P58" s="157"/>
      <c r="Q58" s="157"/>
      <c r="R58" s="157"/>
      <c r="S58" s="157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</row>
    <row r="59" spans="1:141" s="18" customFormat="1" ht="12.75">
      <c r="A59" s="154" t="s">
        <v>602</v>
      </c>
      <c r="B59" s="155">
        <v>43008</v>
      </c>
      <c r="C59" s="154" t="s">
        <v>603</v>
      </c>
      <c r="D59" s="156">
        <v>27.33</v>
      </c>
      <c r="K59" s="155">
        <v>43024</v>
      </c>
      <c r="L59" s="155"/>
      <c r="M59" s="155"/>
      <c r="N59" s="235"/>
      <c r="O59" s="157"/>
      <c r="P59" s="157"/>
      <c r="Q59" s="157"/>
      <c r="R59" s="157"/>
      <c r="S59" s="157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</row>
    <row r="60" spans="1:141" s="18" customFormat="1" ht="12.75">
      <c r="A60" s="154" t="s">
        <v>604</v>
      </c>
      <c r="B60" s="155">
        <v>43008</v>
      </c>
      <c r="C60" s="154" t="s">
        <v>605</v>
      </c>
      <c r="D60" s="156">
        <v>2462.96</v>
      </c>
      <c r="K60" s="155">
        <v>43027</v>
      </c>
      <c r="L60" s="155"/>
      <c r="M60" s="155"/>
      <c r="N60" s="235"/>
      <c r="O60" s="157"/>
      <c r="P60" s="157"/>
      <c r="Q60" s="157"/>
      <c r="R60" s="157"/>
      <c r="S60" s="157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  <c r="CX60" s="159"/>
      <c r="CY60" s="159"/>
      <c r="CZ60" s="159"/>
      <c r="DA60" s="159"/>
      <c r="DB60" s="159"/>
      <c r="DC60" s="159"/>
      <c r="DD60" s="159"/>
      <c r="DE60" s="159"/>
      <c r="DF60" s="159"/>
      <c r="DG60" s="159"/>
      <c r="DH60" s="159"/>
      <c r="DI60" s="159"/>
      <c r="DJ60" s="159"/>
      <c r="DK60" s="159"/>
      <c r="DL60" s="159"/>
      <c r="DM60" s="159"/>
      <c r="DN60" s="159"/>
      <c r="DO60" s="159"/>
      <c r="DP60" s="159"/>
      <c r="DQ60" s="159"/>
      <c r="DR60" s="159"/>
      <c r="DS60" s="159"/>
      <c r="DT60" s="159"/>
      <c r="DU60" s="159"/>
      <c r="DV60" s="159"/>
      <c r="DW60" s="159"/>
      <c r="DX60" s="159"/>
      <c r="DY60" s="159"/>
      <c r="DZ60" s="159"/>
      <c r="EA60" s="159"/>
      <c r="EB60" s="159"/>
      <c r="EC60" s="159"/>
      <c r="ED60" s="159"/>
      <c r="EE60" s="159"/>
      <c r="EF60" s="159"/>
      <c r="EG60" s="159"/>
      <c r="EH60" s="159"/>
      <c r="EI60" s="159"/>
      <c r="EJ60" s="159"/>
      <c r="EK60" s="159"/>
    </row>
  </sheetData>
  <sheetProtection/>
  <printOptions/>
  <pageMargins left="0.75" right="0.75" top="1" bottom="1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USR05</dc:creator>
  <cp:keywords/>
  <dc:description/>
  <cp:lastModifiedBy>Bakartxo Villar</cp:lastModifiedBy>
  <cp:lastPrinted>2015-07-13T10:18:06Z</cp:lastPrinted>
  <dcterms:created xsi:type="dcterms:W3CDTF">2013-12-21T08:23:27Z</dcterms:created>
  <dcterms:modified xsi:type="dcterms:W3CDTF">2017-10-19T10:14:56Z</dcterms:modified>
  <cp:category/>
  <cp:version/>
  <cp:contentType/>
  <cp:contentStatus/>
</cp:coreProperties>
</file>