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566" activeTab="0"/>
  </bookViews>
  <sheets>
    <sheet name="TXOSTENA" sheetId="1" r:id="rId1"/>
    <sheet name="xehet1" sheetId="2" state="hidden" r:id="rId2"/>
    <sheet name="xehet2" sheetId="3" state="hidden" r:id="rId3"/>
    <sheet name="xehet32" sheetId="4" state="hidden" r:id="rId4"/>
  </sheets>
  <definedNames>
    <definedName name="_xlnm.Print_Area" localSheetId="1">'xehet1'!$A$3:$R$5</definedName>
    <definedName name="_xlnm.Print_Area" localSheetId="2">'xehet2'!$A$1:$R$21</definedName>
    <definedName name="_xlnm.Print_Area" localSheetId="3">'xehet32'!$A$3:$O$10</definedName>
  </definedNames>
  <calcPr fullCalcOnLoad="1"/>
</workbook>
</file>

<file path=xl/sharedStrings.xml><?xml version="1.0" encoding="utf-8"?>
<sst xmlns="http://schemas.openxmlformats.org/spreadsheetml/2006/main" count="523" uniqueCount="437">
  <si>
    <t>20 -</t>
  </si>
  <si>
    <t>21 -</t>
  </si>
  <si>
    <t>22 -</t>
  </si>
  <si>
    <t>23 -</t>
  </si>
  <si>
    <t>Toki entitatea:</t>
  </si>
  <si>
    <t>Ekitaldia:</t>
  </si>
  <si>
    <t>Hiruhilekoa:</t>
  </si>
  <si>
    <t>Errentamenduak eta kanonak</t>
  </si>
  <si>
    <t>Materiala, hornidura eta beste batzuk</t>
  </si>
  <si>
    <t>Kalte-ordaina zerbitzuagatik</t>
  </si>
  <si>
    <t>Inbertsio errealak</t>
  </si>
  <si>
    <t>Guztira</t>
  </si>
  <si>
    <t>Ordainketa kopurua</t>
  </si>
  <si>
    <t>Zenbateko osoa</t>
  </si>
  <si>
    <t>Hiruhilekoan egindako ordainketak</t>
  </si>
  <si>
    <t>Eragiketa kopurua</t>
  </si>
  <si>
    <t>Hiruhilekoa amaitzean ordaintzeko daudenak</t>
  </si>
  <si>
    <t>Kopurua</t>
  </si>
  <si>
    <t>Gastuak ondasun arruntetan eta zerbitzuetan</t>
  </si>
  <si>
    <t>Konponketa, mantenimendua eta kontserbazioa</t>
  </si>
  <si>
    <t>Aurrekontura aplikatzeko daudenak</t>
  </si>
  <si>
    <t>ORDAINKETA EPEAREN INFORMAZIOA</t>
  </si>
  <si>
    <t>Hiruhileko ordainketak</t>
  </si>
  <si>
    <t>Bestelakoak</t>
  </si>
  <si>
    <t>2X -</t>
  </si>
  <si>
    <t>Aurrekontura aplikatzeko dauden ordainketak</t>
  </si>
  <si>
    <t>6X -</t>
  </si>
  <si>
    <t xml:space="preserve"> Inbertsio errealak </t>
  </si>
  <si>
    <t>1. Hiruhilekoan egindako ordainketak. Ordainketa epea obligazioa onartu zenetik hasita.</t>
  </si>
  <si>
    <t>1.1. Sailkapen ekonomikoaren arabera</t>
  </si>
  <si>
    <t>1.2. Epearen arabera</t>
  </si>
  <si>
    <t xml:space="preserve">Hiru hilabete ondoren obligazioa onartu gabe duten fakturak eta ordainagiriak </t>
  </si>
  <si>
    <t>Hiruhilekoa amaitzean ordaindu gabe dauden fakturak eta ordainagiriak</t>
  </si>
  <si>
    <t>Ordainketa epea</t>
  </si>
  <si>
    <t>Epez kanpokoena</t>
  </si>
  <si>
    <t>Legezko epearen barruan</t>
  </si>
  <si>
    <t>Legezko epetik kanpo</t>
  </si>
  <si>
    <t>2. Ordaindu gabe gelditu diren fakturak. Epea obligazioa onartu zenetik hasita.</t>
  </si>
  <si>
    <t>3.1. Erregistroan idatzi zirenetik hiru hilabetetik gora daramatenak</t>
  </si>
  <si>
    <t>30 egun edo gutxiago</t>
  </si>
  <si>
    <t>31 eta 60 egun bitartean</t>
  </si>
  <si>
    <t>61 eta 90 egun bitartean</t>
  </si>
  <si>
    <t>90 egun baino gehiago</t>
  </si>
  <si>
    <t>Epea</t>
  </si>
  <si>
    <t>Zenbatekoa</t>
  </si>
  <si>
    <t>Epea
(egunak batez beste)</t>
  </si>
  <si>
    <t>(egunak batez beste)</t>
  </si>
  <si>
    <t>3.2. Erregistroan idatzi zirenetik daramatzaten egunak</t>
  </si>
  <si>
    <t xml:space="preserve">Obligazioa onartu gabe duten fakturak eta ordainagiriak </t>
  </si>
  <si>
    <t>4. Entitatearen ordainketen batez besteko epea (OBBE)</t>
  </si>
  <si>
    <t>OBBE</t>
  </si>
  <si>
    <t>Hiruhilekoaren OBBE</t>
  </si>
  <si>
    <t>Ratioa</t>
  </si>
  <si>
    <t>Ordaindutako eragiketak</t>
  </si>
  <si>
    <t>Ordaindu gabeko eragiketak</t>
  </si>
  <si>
    <t>OBBEari buruzko oharrak:</t>
  </si>
  <si>
    <t>Egun kopurua</t>
  </si>
  <si>
    <t>Egindako ordainketak</t>
  </si>
  <si>
    <t>Faktura kopurua</t>
  </si>
  <si>
    <t>%</t>
  </si>
  <si>
    <t>31etik 40 egunetara</t>
  </si>
  <si>
    <t>41etik 50 egunetara</t>
  </si>
  <si>
    <t>51tik 60 egunetara</t>
  </si>
  <si>
    <t>60 egun baino gehiago</t>
  </si>
  <si>
    <t>3. Hiruhilekoa amaitzean obligazioa onartu gabe duten fakturak eta ordainagiriak</t>
  </si>
  <si>
    <t>Obligaziorik onartu gabeko fakturak</t>
  </si>
  <si>
    <t>Aurrekontuari aplikatu gabeko ordainketak*</t>
  </si>
  <si>
    <t>Aurrekontuari aplikatu gabeko fakturak*</t>
  </si>
  <si>
    <t>* 2. eta 6. kapituluari dagozkion fakturak soilik</t>
  </si>
  <si>
    <t>Hiruhilekoan ordaindutako fakturak</t>
  </si>
  <si>
    <t>Fra data</t>
  </si>
  <si>
    <t>Hirugarrena</t>
  </si>
  <si>
    <t>Azalpena</t>
  </si>
  <si>
    <t>Partida</t>
  </si>
  <si>
    <t>Erregto
 data</t>
  </si>
  <si>
    <t>Espte
 zkia</t>
  </si>
  <si>
    <t>Desz
 Data</t>
  </si>
  <si>
    <t>Epea
 R-O</t>
  </si>
  <si>
    <t>Hiruhilekoan ordaindu gabe gelditu direnak (O eginda)</t>
  </si>
  <si>
    <t>Hiruhilekoan O egin gabe gelditu direnak</t>
  </si>
  <si>
    <t>Epea
 R-HH buk</t>
  </si>
  <si>
    <t>ADO-17</t>
  </si>
  <si>
    <t>ADO-12</t>
  </si>
  <si>
    <t>Hirugar.
Kodea</t>
  </si>
  <si>
    <t>Fra zkia</t>
  </si>
  <si>
    <t>Epea
 O
 - HH buk</t>
  </si>
  <si>
    <t>Epea
 R 
 - HH buk</t>
  </si>
  <si>
    <t>Konponketak, mantenimendua eta artapena</t>
  </si>
  <si>
    <t>Materiala, hornidurak eta bestelakoak</t>
  </si>
  <si>
    <t>Kalte-ordainak zerbitzuagatik</t>
  </si>
  <si>
    <t>O-ren
 data</t>
  </si>
  <si>
    <t>P-ren
 data</t>
  </si>
  <si>
    <t>Artik</t>
  </si>
  <si>
    <t>ponderazioa 1</t>
  </si>
  <si>
    <t>ponderazioa 2</t>
  </si>
  <si>
    <t>Epean</t>
  </si>
  <si>
    <t>capit</t>
  </si>
  <si>
    <t>epean</t>
  </si>
  <si>
    <t>HH bukaera</t>
  </si>
  <si>
    <t>Hau ez bete</t>
  </si>
  <si>
    <t>hautazkoak</t>
  </si>
  <si>
    <t>betebeharrekoak</t>
  </si>
  <si>
    <t>29 -</t>
  </si>
  <si>
    <t>onarpena</t>
  </si>
  <si>
    <t>ordainketa</t>
  </si>
  <si>
    <t>FCC1500007</t>
  </si>
  <si>
    <t>7/2015</t>
  </si>
  <si>
    <t>FCC1500016</t>
  </si>
  <si>
    <t>FCC1500416</t>
  </si>
  <si>
    <t>CS73108</t>
  </si>
  <si>
    <t>FCC1500417</t>
  </si>
  <si>
    <t>CS73107</t>
  </si>
  <si>
    <t>FCC1500419</t>
  </si>
  <si>
    <t>10167</t>
  </si>
  <si>
    <t>FCC1500420</t>
  </si>
  <si>
    <t>01HNRA7</t>
  </si>
  <si>
    <t>FCC1500421</t>
  </si>
  <si>
    <t>01HN98F</t>
  </si>
  <si>
    <t>FCC1500422</t>
  </si>
  <si>
    <t>01HN98D</t>
  </si>
  <si>
    <t>FCC1500423</t>
  </si>
  <si>
    <t>01HN98B</t>
  </si>
  <si>
    <t>FCC1500424</t>
  </si>
  <si>
    <t>01HN5AZ</t>
  </si>
  <si>
    <t>FCC1500434</t>
  </si>
  <si>
    <t>1507C0602106</t>
  </si>
  <si>
    <t>FCC1500437</t>
  </si>
  <si>
    <t>TK15001690</t>
  </si>
  <si>
    <t>FCC1500441</t>
  </si>
  <si>
    <t>28-G580-995148</t>
  </si>
  <si>
    <t>FCC1500446</t>
  </si>
  <si>
    <t>10166</t>
  </si>
  <si>
    <t>FCC1500454</t>
  </si>
  <si>
    <t>1 000217</t>
  </si>
  <si>
    <t>FCC1500466</t>
  </si>
  <si>
    <t>00002196</t>
  </si>
  <si>
    <t>FCC1500467</t>
  </si>
  <si>
    <t>00002233</t>
  </si>
  <si>
    <t>FCC1500477</t>
  </si>
  <si>
    <t>A0015-052</t>
  </si>
  <si>
    <t>FCC1500481</t>
  </si>
  <si>
    <t>E057</t>
  </si>
  <si>
    <t>FCC1500482</t>
  </si>
  <si>
    <t>2015/2390</t>
  </si>
  <si>
    <t>FCC1500488</t>
  </si>
  <si>
    <t>20150714010005504</t>
  </si>
  <si>
    <t>FCC1500494</t>
  </si>
  <si>
    <t>A / 350</t>
  </si>
  <si>
    <t>FCC1500495</t>
  </si>
  <si>
    <t>20150715010297728</t>
  </si>
  <si>
    <t>FCC1500496</t>
  </si>
  <si>
    <t>12</t>
  </si>
  <si>
    <t>FCC1500497</t>
  </si>
  <si>
    <t>A 18323</t>
  </si>
  <si>
    <t>FCC1500498</t>
  </si>
  <si>
    <t>11E159910000085650</t>
  </si>
  <si>
    <t>FCC1500499</t>
  </si>
  <si>
    <t>20150572</t>
  </si>
  <si>
    <t>FCC1500500</t>
  </si>
  <si>
    <t>A 15.856</t>
  </si>
  <si>
    <t>FCC1500501</t>
  </si>
  <si>
    <t>11</t>
  </si>
  <si>
    <t>FCC1500502</t>
  </si>
  <si>
    <t>A 150203</t>
  </si>
  <si>
    <t>FCC1500503</t>
  </si>
  <si>
    <t>25/2015</t>
  </si>
  <si>
    <t>FCC1500504</t>
  </si>
  <si>
    <t>1508580</t>
  </si>
  <si>
    <t>FCC1500505</t>
  </si>
  <si>
    <t>15/A-040</t>
  </si>
  <si>
    <t>FCC1500507</t>
  </si>
  <si>
    <t>B / 1934</t>
  </si>
  <si>
    <t>FCC1500508</t>
  </si>
  <si>
    <t>15/505</t>
  </si>
  <si>
    <t>FCC1500509</t>
  </si>
  <si>
    <t>BD-155</t>
  </si>
  <si>
    <t>FCC1500510</t>
  </si>
  <si>
    <t>1033/15</t>
  </si>
  <si>
    <t>FCC1500511</t>
  </si>
  <si>
    <t>1032/15</t>
  </si>
  <si>
    <t>FCC1500512</t>
  </si>
  <si>
    <t>1031/15</t>
  </si>
  <si>
    <t>FCC1500513</t>
  </si>
  <si>
    <t>1030/15</t>
  </si>
  <si>
    <t>FCC1500516</t>
  </si>
  <si>
    <t>20150727010212251</t>
  </si>
  <si>
    <t>FCC1500517</t>
  </si>
  <si>
    <t>20150727010298569</t>
  </si>
  <si>
    <t>FCC1500518</t>
  </si>
  <si>
    <t>20150727010414104</t>
  </si>
  <si>
    <t>FCC1500519</t>
  </si>
  <si>
    <t>20150728010138615</t>
  </si>
  <si>
    <t>FCC1500520</t>
  </si>
  <si>
    <t>20150728120000163</t>
  </si>
  <si>
    <t>FCC1500521</t>
  </si>
  <si>
    <t>SI201503155</t>
  </si>
  <si>
    <t>FCC1500522</t>
  </si>
  <si>
    <t>20150727010169469</t>
  </si>
  <si>
    <t>FCC1500523</t>
  </si>
  <si>
    <t>20150727010174824</t>
  </si>
  <si>
    <t>FCC1500524</t>
  </si>
  <si>
    <t>354323</t>
  </si>
  <si>
    <t>FCC1500525</t>
  </si>
  <si>
    <t>AS15268</t>
  </si>
  <si>
    <t>FCC1500526</t>
  </si>
  <si>
    <t>AS15267</t>
  </si>
  <si>
    <t>FCC1500527</t>
  </si>
  <si>
    <t>AS15259</t>
  </si>
  <si>
    <t>4481</t>
  </si>
  <si>
    <t>FCC1500529</t>
  </si>
  <si>
    <t>FCC1500530</t>
  </si>
  <si>
    <t>20150812010004806</t>
  </si>
  <si>
    <t>FCC1500531</t>
  </si>
  <si>
    <t>20150727010311914</t>
  </si>
  <si>
    <t>FCC1500532</t>
  </si>
  <si>
    <t>2079</t>
  </si>
  <si>
    <t>FCC1500533</t>
  </si>
  <si>
    <t>20150714010005351</t>
  </si>
  <si>
    <t>FCC1500534</t>
  </si>
  <si>
    <t>155074</t>
  </si>
  <si>
    <t>FCC1500535</t>
  </si>
  <si>
    <t>5097</t>
  </si>
  <si>
    <t>FCC1500536</t>
  </si>
  <si>
    <t>11E159910000098837</t>
  </si>
  <si>
    <t>FCC1500537</t>
  </si>
  <si>
    <t>AC9680</t>
  </si>
  <si>
    <t>FCC1500538</t>
  </si>
  <si>
    <t>15-S-1.993</t>
  </si>
  <si>
    <t>FCC1500539</t>
  </si>
  <si>
    <t>216</t>
  </si>
  <si>
    <t>FCC1500540</t>
  </si>
  <si>
    <t>20150714010005352</t>
  </si>
  <si>
    <t>FCC1500541</t>
  </si>
  <si>
    <t>7250106896</t>
  </si>
  <si>
    <t>FCC1500543</t>
  </si>
  <si>
    <t>7250106899</t>
  </si>
  <si>
    <t>FCC1500544</t>
  </si>
  <si>
    <t>15007</t>
  </si>
  <si>
    <t>FCC1500546</t>
  </si>
  <si>
    <t>20150716010012359</t>
  </si>
  <si>
    <t>FCC1500547</t>
  </si>
  <si>
    <t>216/15/GIP</t>
  </si>
  <si>
    <t>FCC1500548</t>
  </si>
  <si>
    <t>7250106898</t>
  </si>
  <si>
    <t>FCC1500549</t>
  </si>
  <si>
    <t>201501503</t>
  </si>
  <si>
    <t>FCC1500550</t>
  </si>
  <si>
    <t>07-2015</t>
  </si>
  <si>
    <t>FCC1500551</t>
  </si>
  <si>
    <t>20150813010253415</t>
  </si>
  <si>
    <t>FCC1500552</t>
  </si>
  <si>
    <t>A 18545</t>
  </si>
  <si>
    <t>FCC1500553</t>
  </si>
  <si>
    <t>13</t>
  </si>
  <si>
    <t>FCC1500561</t>
  </si>
  <si>
    <t>20150600</t>
  </si>
  <si>
    <t>FCC1500562</t>
  </si>
  <si>
    <t>20150604</t>
  </si>
  <si>
    <t>FCC1500563</t>
  </si>
  <si>
    <t>20150608</t>
  </si>
  <si>
    <t>FCC1500566</t>
  </si>
  <si>
    <t>A 18614</t>
  </si>
  <si>
    <t>FCC1500568</t>
  </si>
  <si>
    <t>20150615</t>
  </si>
  <si>
    <t>FCC1500569</t>
  </si>
  <si>
    <t>BD-173</t>
  </si>
  <si>
    <t>FCC1500570</t>
  </si>
  <si>
    <t>354589</t>
  </si>
  <si>
    <t>FCC1500571</t>
  </si>
  <si>
    <t>7250107708</t>
  </si>
  <si>
    <t>FCC1500572</t>
  </si>
  <si>
    <t>AS15478</t>
  </si>
  <si>
    <t>FCC1500573</t>
  </si>
  <si>
    <t>FCC1500574</t>
  </si>
  <si>
    <t>FCC1500575</t>
  </si>
  <si>
    <t>FCC1500576</t>
  </si>
  <si>
    <t>FCC1500577</t>
  </si>
  <si>
    <t>FCC1500578</t>
  </si>
  <si>
    <t>FCC1500579</t>
  </si>
  <si>
    <t>FCC1500580</t>
  </si>
  <si>
    <t>FCC1500581</t>
  </si>
  <si>
    <t>FCC1500582</t>
  </si>
  <si>
    <t>FCC1500583</t>
  </si>
  <si>
    <t>FCC1500584</t>
  </si>
  <si>
    <t>FCC1500585</t>
  </si>
  <si>
    <t>SI201503674</t>
  </si>
  <si>
    <t>SI201503579</t>
  </si>
  <si>
    <t>138257</t>
  </si>
  <si>
    <t>XSS0112920</t>
  </si>
  <si>
    <t>2015/3591</t>
  </si>
  <si>
    <t>155612</t>
  </si>
  <si>
    <t>11E159910000111917</t>
  </si>
  <si>
    <t>20150814010005571</t>
  </si>
  <si>
    <t>249</t>
  </si>
  <si>
    <t>15-S-2.276</t>
  </si>
  <si>
    <t>2º TRIM. 2015</t>
  </si>
  <si>
    <t>3/150004593</t>
  </si>
  <si>
    <t>A 127</t>
  </si>
  <si>
    <t>FCC1500586</t>
  </si>
  <si>
    <t>A 126</t>
  </si>
  <si>
    <t>FCC1500587</t>
  </si>
  <si>
    <t>A 105</t>
  </si>
  <si>
    <t>FCC1500588</t>
  </si>
  <si>
    <t>A 128</t>
  </si>
  <si>
    <t>FCC1500589</t>
  </si>
  <si>
    <t>A 129</t>
  </si>
  <si>
    <t>FCC1500590</t>
  </si>
  <si>
    <t>014/15</t>
  </si>
  <si>
    <t>FCC1500591</t>
  </si>
  <si>
    <t>A 15.943</t>
  </si>
  <si>
    <t>FCC1500592</t>
  </si>
  <si>
    <t>20143/2015</t>
  </si>
  <si>
    <t>FCC1500593</t>
  </si>
  <si>
    <t>20167/2015</t>
  </si>
  <si>
    <t>FCC1500594</t>
  </si>
  <si>
    <t>AL04-2015</t>
  </si>
  <si>
    <t>FCC1500595</t>
  </si>
  <si>
    <t>TA4ZM0110899</t>
  </si>
  <si>
    <t>FCC1500596</t>
  </si>
  <si>
    <t>1 000236</t>
  </si>
  <si>
    <t>FCC1500597</t>
  </si>
  <si>
    <t>1 000270</t>
  </si>
  <si>
    <t>FCC1500598</t>
  </si>
  <si>
    <t>20150915010005296</t>
  </si>
  <si>
    <t>FCC1500599</t>
  </si>
  <si>
    <t>551787</t>
  </si>
  <si>
    <t>FCC1500600</t>
  </si>
  <si>
    <t>28-H580-985176</t>
  </si>
  <si>
    <t>FCC1500601</t>
  </si>
  <si>
    <t>20150813010004876</t>
  </si>
  <si>
    <t>FCC1500602</t>
  </si>
  <si>
    <t>1509C0726113</t>
  </si>
  <si>
    <t>FCC1500603</t>
  </si>
  <si>
    <t>1508C0723586</t>
  </si>
  <si>
    <t>FCC1500604</t>
  </si>
  <si>
    <t>20150714010005353</t>
  </si>
  <si>
    <t>FCC1500605</t>
  </si>
  <si>
    <t>20150812010004655</t>
  </si>
  <si>
    <t>FCC1500609</t>
  </si>
  <si>
    <t>7250107707</t>
  </si>
  <si>
    <t>FCC1500610</t>
  </si>
  <si>
    <t>12015651381</t>
  </si>
  <si>
    <t>FCC1500611</t>
  </si>
  <si>
    <t>12015651380</t>
  </si>
  <si>
    <t>FCC1500612</t>
  </si>
  <si>
    <t>12015651382</t>
  </si>
  <si>
    <t>FCC1500613</t>
  </si>
  <si>
    <t>22015085003</t>
  </si>
  <si>
    <t>FCC1500614</t>
  </si>
  <si>
    <t>435149</t>
  </si>
  <si>
    <t>FCC1500615</t>
  </si>
  <si>
    <t>408644</t>
  </si>
  <si>
    <t>FCC1500616</t>
  </si>
  <si>
    <t>384920</t>
  </si>
  <si>
    <t>FCC1500617</t>
  </si>
  <si>
    <t>FCC1500618</t>
  </si>
  <si>
    <t>FCC1500619</t>
  </si>
  <si>
    <t>01HV3N4</t>
  </si>
  <si>
    <t>FCC1500620</t>
  </si>
  <si>
    <t>FCC1500621</t>
  </si>
  <si>
    <t>FCC1500622</t>
  </si>
  <si>
    <t>01HWVXV</t>
  </si>
  <si>
    <t>01HWVXR</t>
  </si>
  <si>
    <t>01HWVXT</t>
  </si>
  <si>
    <t>R009VMM</t>
  </si>
  <si>
    <t>01HWVXP</t>
  </si>
  <si>
    <t>FCC1500623</t>
  </si>
  <si>
    <t>FCC1500624</t>
  </si>
  <si>
    <t>FCC1500625</t>
  </si>
  <si>
    <t>FCC1500626</t>
  </si>
  <si>
    <t>FCC1500627</t>
  </si>
  <si>
    <t>01I7FKJ</t>
  </si>
  <si>
    <t>01I7FKP</t>
  </si>
  <si>
    <t>01I5CZL</t>
  </si>
  <si>
    <t>01I7FKL</t>
  </si>
  <si>
    <t>01I7FKN</t>
  </si>
  <si>
    <t>HH buk</t>
  </si>
  <si>
    <t>PTE ABONO</t>
  </si>
  <si>
    <t>Epea R-O</t>
  </si>
  <si>
    <t>Epea O-P</t>
  </si>
  <si>
    <t>Epea R-P</t>
  </si>
  <si>
    <t>FCC1500628</t>
  </si>
  <si>
    <t>201501663</t>
  </si>
  <si>
    <t>FCC1500629</t>
  </si>
  <si>
    <t>20150911010243382</t>
  </si>
  <si>
    <t>FCC1500630</t>
  </si>
  <si>
    <t>20150914010006251</t>
  </si>
  <si>
    <t>FCC1500631</t>
  </si>
  <si>
    <t>20150914010006252</t>
  </si>
  <si>
    <t>FCC1500632</t>
  </si>
  <si>
    <t>S35-751</t>
  </si>
  <si>
    <t>FCC1500633</t>
  </si>
  <si>
    <t>G-12188</t>
  </si>
  <si>
    <t>FCC1500634</t>
  </si>
  <si>
    <t>48431</t>
  </si>
  <si>
    <t>FCC1500635</t>
  </si>
  <si>
    <t>28-I580-979622</t>
  </si>
  <si>
    <t>FCC1500636</t>
  </si>
  <si>
    <t>121/15</t>
  </si>
  <si>
    <t>FCC1500637</t>
  </si>
  <si>
    <t>A6001118848</t>
  </si>
  <si>
    <t>OARSOALDEA</t>
  </si>
  <si>
    <t>FCC1500639</t>
  </si>
  <si>
    <t>20150631</t>
  </si>
  <si>
    <t>FCC1500640</t>
  </si>
  <si>
    <t>20150661</t>
  </si>
  <si>
    <t>FCC1500646</t>
  </si>
  <si>
    <t>AL10-2015</t>
  </si>
  <si>
    <t>FCC1500648</t>
  </si>
  <si>
    <t>150803859/01457</t>
  </si>
  <si>
    <t>FCC1500649</t>
  </si>
  <si>
    <t>245/15/GIP</t>
  </si>
  <si>
    <t>FCC1500650</t>
  </si>
  <si>
    <t>375</t>
  </si>
  <si>
    <t>FCC1500651</t>
  </si>
  <si>
    <t>20150911010005134</t>
  </si>
  <si>
    <t>FCC1500652</t>
  </si>
  <si>
    <t>FLL AUC45100</t>
  </si>
  <si>
    <t>FCC1500653</t>
  </si>
  <si>
    <t>FLL AUC16274</t>
  </si>
  <si>
    <t>FCC1500654</t>
  </si>
  <si>
    <t>G-12177</t>
  </si>
  <si>
    <t>FCC1500655</t>
  </si>
  <si>
    <t>551858</t>
  </si>
  <si>
    <t>FCC1500656</t>
  </si>
  <si>
    <t>551614</t>
  </si>
  <si>
    <t>FCC1500657</t>
  </si>
  <si>
    <t>AL07-2015</t>
  </si>
  <si>
    <t>FCC1500658</t>
  </si>
  <si>
    <t>G-12211</t>
  </si>
  <si>
    <t>FCC1500659</t>
  </si>
  <si>
    <t>FCC1500660</t>
  </si>
  <si>
    <t>100098</t>
  </si>
  <si>
    <t>FCC1500661</t>
  </si>
  <si>
    <t>SI201503829</t>
  </si>
  <si>
    <t>FCC1500662</t>
  </si>
  <si>
    <t>20150915010005464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</si>
</sst>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2D]dddd\,\ yyyy\.&quot;eko&quot;\ mmmm&quot;k &quot;d"/>
    <numFmt numFmtId="165" formatCode="0.0"/>
    <numFmt numFmtId="166" formatCode="#,##0.0"/>
    <numFmt numFmtId="167" formatCode="0.000000"/>
    <numFmt numFmtId="168" formatCode="0.00000"/>
    <numFmt numFmtId="169" formatCode="0.0000"/>
    <numFmt numFmtId="170" formatCode="0.000"/>
    <numFmt numFmtId="171" formatCode="#,##0.00_ ;\-#,##0.00\ "/>
    <numFmt numFmtId="172" formatCode="[$-C0A]dddd\,\ dd&quot; de &quot;mmmm&quot; de &quot;yyyy"/>
    <numFmt numFmtId="173" formatCode="yyyy/mm/dd"/>
    <numFmt numFmtId="174" formatCode="mmm\-yyyy"/>
    <numFmt numFmtId="175" formatCode="0.000000000"/>
    <numFmt numFmtId="176" formatCode="0.00000000"/>
    <numFmt numFmtId="177" formatCode="0.0000000"/>
  </numFmts>
  <fonts count="52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medium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23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>
        <color indexed="63"/>
      </top>
      <bottom style="medium">
        <color indexed="23"/>
      </bottom>
    </border>
    <border>
      <left style="thin">
        <color indexed="55"/>
      </left>
      <right style="thin">
        <color indexed="55"/>
      </right>
      <top>
        <color indexed="63"/>
      </top>
      <bottom style="medium">
        <color indexed="23"/>
      </bottom>
    </border>
    <border>
      <left style="thin">
        <color indexed="55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23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23"/>
      </right>
      <top>
        <color indexed="63"/>
      </top>
      <bottom>
        <color indexed="63"/>
      </bottom>
    </border>
    <border>
      <left style="thin">
        <color indexed="55"/>
      </left>
      <right style="medium">
        <color indexed="23"/>
      </right>
      <top style="thin">
        <color indexed="55"/>
      </top>
      <bottom style="medium">
        <color indexed="2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 style="medium">
        <color indexed="2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medium">
        <color indexed="2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medium">
        <color indexed="23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>
        <color indexed="63"/>
      </right>
      <top style="medium">
        <color indexed="23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>
        <color indexed="63"/>
      </bottom>
    </border>
    <border>
      <left style="thin">
        <color indexed="55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 style="hair">
        <color indexed="8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23"/>
      </left>
      <right style="hair">
        <color indexed="8"/>
      </right>
      <top>
        <color indexed="63"/>
      </top>
      <bottom style="medium">
        <color indexed="23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23"/>
      </bottom>
    </border>
    <border>
      <left style="hair">
        <color indexed="8"/>
      </left>
      <right style="medium">
        <color indexed="55"/>
      </right>
      <top>
        <color indexed="63"/>
      </top>
      <bottom style="medium">
        <color indexed="23"/>
      </bottom>
    </border>
    <border>
      <left style="medium">
        <color indexed="2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 style="thin">
        <color indexed="55"/>
      </right>
      <top>
        <color indexed="63"/>
      </top>
      <bottom>
        <color indexed="63"/>
      </bottom>
    </border>
    <border>
      <left style="medium">
        <color indexed="23"/>
      </left>
      <right style="thin">
        <color indexed="55"/>
      </right>
      <top style="hair">
        <color indexed="8"/>
      </top>
      <bottom style="medium">
        <color indexed="23"/>
      </bottom>
    </border>
    <border>
      <left style="thin">
        <color indexed="55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hair">
        <color indexed="8"/>
      </right>
      <top style="thin">
        <color indexed="55"/>
      </top>
      <bottom style="medium">
        <color indexed="23"/>
      </bottom>
    </border>
    <border>
      <left style="hair">
        <color indexed="8"/>
      </left>
      <right style="hair">
        <color indexed="8"/>
      </right>
      <top style="thin">
        <color indexed="55"/>
      </top>
      <bottom style="medium">
        <color indexed="23"/>
      </bottom>
    </border>
    <border>
      <left style="hair">
        <color indexed="8"/>
      </left>
      <right style="medium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26" borderId="4" applyNumberFormat="0" applyAlignment="0" applyProtection="0"/>
    <xf numFmtId="9" fontId="0" fillId="0" borderId="0" applyFill="0" applyBorder="0" applyAlignment="0" applyProtection="0"/>
    <xf numFmtId="0" fontId="42" fillId="0" borderId="5" applyNumberFormat="0" applyFill="0" applyAlignment="0" applyProtection="0"/>
    <xf numFmtId="0" fontId="43" fillId="27" borderId="0" applyNumberFormat="0" applyBorder="0" applyAlignment="0" applyProtection="0"/>
    <xf numFmtId="0" fontId="44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45" fillId="28" borderId="7" applyNumberFormat="0" applyAlignment="0" applyProtection="0"/>
    <xf numFmtId="0" fontId="46" fillId="28" borderId="8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9" applyNumberFormat="0" applyFont="0" applyAlignment="0" applyProtection="0"/>
    <xf numFmtId="0" fontId="48" fillId="0" borderId="0" applyNumberFormat="0" applyFill="0" applyBorder="0" applyAlignment="0" applyProtection="0"/>
    <xf numFmtId="0" fontId="49" fillId="31" borderId="0" applyNumberFormat="0" applyBorder="0" applyAlignment="0" applyProtection="0"/>
    <xf numFmtId="0" fontId="50" fillId="32" borderId="8" applyNumberFormat="0" applyAlignment="0" applyProtection="0"/>
    <xf numFmtId="0" fontId="51" fillId="0" borderId="0" applyNumberFormat="0" applyFill="0" applyBorder="0" applyAlignment="0" applyProtection="0"/>
  </cellStyleXfs>
  <cellXfs count="2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/>
    </xf>
    <xf numFmtId="4" fontId="4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4" fillId="33" borderId="0" xfId="0" applyNumberFormat="1" applyFont="1" applyFill="1" applyAlignment="1">
      <alignment horizontal="center" wrapText="1"/>
    </xf>
    <xf numFmtId="3" fontId="4" fillId="34" borderId="0" xfId="0" applyNumberFormat="1" applyFont="1" applyFill="1" applyAlignment="1">
      <alignment horizontal="center" wrapText="1"/>
    </xf>
    <xf numFmtId="3" fontId="4" fillId="35" borderId="0" xfId="0" applyNumberFormat="1" applyFont="1" applyFill="1" applyAlignment="1">
      <alignment horizontal="center" wrapText="1"/>
    </xf>
    <xf numFmtId="3" fontId="4" fillId="36" borderId="0" xfId="0" applyNumberFormat="1" applyFont="1" applyFill="1" applyAlignment="1">
      <alignment horizontal="center" wrapText="1"/>
    </xf>
    <xf numFmtId="173" fontId="2" fillId="0" borderId="0" xfId="0" applyNumberFormat="1" applyFont="1" applyAlignment="1">
      <alignment/>
    </xf>
    <xf numFmtId="173" fontId="4" fillId="33" borderId="0" xfId="0" applyNumberFormat="1" applyFont="1" applyFill="1" applyAlignment="1">
      <alignment horizontal="center" wrapText="1"/>
    </xf>
    <xf numFmtId="173" fontId="4" fillId="0" borderId="0" xfId="0" applyNumberFormat="1" applyFont="1" applyAlignment="1">
      <alignment/>
    </xf>
    <xf numFmtId="173" fontId="4" fillId="33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4" fillId="37" borderId="10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4" fontId="4" fillId="38" borderId="12" xfId="0" applyNumberFormat="1" applyFont="1" applyFill="1" applyBorder="1" applyAlignment="1">
      <alignment/>
    </xf>
    <xf numFmtId="3" fontId="4" fillId="38" borderId="12" xfId="0" applyNumberFormat="1" applyFont="1" applyFill="1" applyBorder="1" applyAlignment="1">
      <alignment/>
    </xf>
    <xf numFmtId="4" fontId="2" fillId="0" borderId="13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4" fillId="38" borderId="13" xfId="0" applyNumberFormat="1" applyFont="1" applyFill="1" applyBorder="1" applyAlignment="1">
      <alignment/>
    </xf>
    <xf numFmtId="4" fontId="4" fillId="38" borderId="13" xfId="0" applyNumberFormat="1" applyFont="1" applyFill="1" applyBorder="1" applyAlignment="1">
      <alignment/>
    </xf>
    <xf numFmtId="4" fontId="2" fillId="0" borderId="14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4" fontId="2" fillId="0" borderId="12" xfId="0" applyNumberFormat="1" applyFont="1" applyBorder="1" applyAlignment="1">
      <alignment/>
    </xf>
    <xf numFmtId="0" fontId="4" fillId="0" borderId="0" xfId="0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wrapText="1"/>
    </xf>
    <xf numFmtId="3" fontId="2" fillId="0" borderId="13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39" borderId="17" xfId="0" applyFont="1" applyFill="1" applyBorder="1" applyAlignment="1">
      <alignment/>
    </xf>
    <xf numFmtId="0" fontId="11" fillId="39" borderId="0" xfId="0" applyFont="1" applyFill="1" applyBorder="1" applyAlignment="1">
      <alignment/>
    </xf>
    <xf numFmtId="0" fontId="13" fillId="39" borderId="0" xfId="0" applyFont="1" applyFill="1" applyBorder="1" applyAlignment="1">
      <alignment horizontal="right"/>
    </xf>
    <xf numFmtId="0" fontId="11" fillId="39" borderId="16" xfId="0" applyFont="1" applyFill="1" applyBorder="1" applyAlignment="1">
      <alignment/>
    </xf>
    <xf numFmtId="0" fontId="14" fillId="39" borderId="0" xfId="0" applyFont="1" applyFill="1" applyBorder="1" applyAlignment="1">
      <alignment horizontal="right"/>
    </xf>
    <xf numFmtId="0" fontId="14" fillId="37" borderId="0" xfId="0" applyFont="1" applyFill="1" applyBorder="1" applyAlignment="1">
      <alignment horizontal="center"/>
    </xf>
    <xf numFmtId="0" fontId="15" fillId="39" borderId="0" xfId="0" applyFont="1" applyFill="1" applyBorder="1" applyAlignment="1">
      <alignment/>
    </xf>
    <xf numFmtId="0" fontId="11" fillId="39" borderId="18" xfId="0" applyFont="1" applyFill="1" applyBorder="1" applyAlignment="1">
      <alignment/>
    </xf>
    <xf numFmtId="0" fontId="11" fillId="39" borderId="19" xfId="0" applyFont="1" applyFill="1" applyBorder="1" applyAlignment="1">
      <alignment/>
    </xf>
    <xf numFmtId="0" fontId="14" fillId="39" borderId="19" xfId="0" applyFont="1" applyFill="1" applyBorder="1" applyAlignment="1">
      <alignment horizontal="right"/>
    </xf>
    <xf numFmtId="0" fontId="14" fillId="37" borderId="19" xfId="0" applyFont="1" applyFill="1" applyBorder="1" applyAlignment="1">
      <alignment horizontal="center"/>
    </xf>
    <xf numFmtId="0" fontId="15" fillId="39" borderId="19" xfId="0" applyFont="1" applyFill="1" applyBorder="1" applyAlignment="1">
      <alignment/>
    </xf>
    <xf numFmtId="0" fontId="11" fillId="39" borderId="2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4" fillId="37" borderId="21" xfId="0" applyFont="1" applyFill="1" applyBorder="1" applyAlignment="1">
      <alignment horizontal="center" vertical="center" wrapText="1"/>
    </xf>
    <xf numFmtId="3" fontId="4" fillId="38" borderId="22" xfId="0" applyNumberFormat="1" applyFont="1" applyFill="1" applyBorder="1" applyAlignment="1">
      <alignment/>
    </xf>
    <xf numFmtId="3" fontId="4" fillId="38" borderId="16" xfId="0" applyNumberFormat="1" applyFont="1" applyFill="1" applyBorder="1" applyAlignment="1">
      <alignment/>
    </xf>
    <xf numFmtId="0" fontId="4" fillId="37" borderId="23" xfId="0" applyFont="1" applyFill="1" applyBorder="1" applyAlignment="1">
      <alignment horizontal="center" vertical="center" wrapText="1"/>
    </xf>
    <xf numFmtId="4" fontId="4" fillId="38" borderId="24" xfId="0" applyNumberFormat="1" applyFont="1" applyFill="1" applyBorder="1" applyAlignment="1">
      <alignment/>
    </xf>
    <xf numFmtId="4" fontId="4" fillId="38" borderId="25" xfId="0" applyNumberFormat="1" applyFont="1" applyFill="1" applyBorder="1" applyAlignment="1">
      <alignment/>
    </xf>
    <xf numFmtId="4" fontId="2" fillId="0" borderId="26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0" fontId="4" fillId="37" borderId="23" xfId="0" applyFont="1" applyFill="1" applyBorder="1" applyAlignment="1">
      <alignment horizontal="center" wrapText="1"/>
    </xf>
    <xf numFmtId="0" fontId="4" fillId="37" borderId="11" xfId="0" applyFont="1" applyFill="1" applyBorder="1" applyAlignment="1">
      <alignment horizontal="center" wrapText="1"/>
    </xf>
    <xf numFmtId="3" fontId="2" fillId="0" borderId="24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0" fontId="4" fillId="37" borderId="27" xfId="0" applyFont="1" applyFill="1" applyBorder="1" applyAlignment="1">
      <alignment horizontal="center" vertical="center" wrapText="1"/>
    </xf>
    <xf numFmtId="0" fontId="4" fillId="37" borderId="28" xfId="0" applyFont="1" applyFill="1" applyBorder="1" applyAlignment="1">
      <alignment horizontal="center" vertical="center" wrapText="1"/>
    </xf>
    <xf numFmtId="4" fontId="4" fillId="38" borderId="29" xfId="0" applyNumberFormat="1" applyFont="1" applyFill="1" applyBorder="1" applyAlignment="1">
      <alignment/>
    </xf>
    <xf numFmtId="4" fontId="4" fillId="38" borderId="30" xfId="0" applyNumberFormat="1" applyFont="1" applyFill="1" applyBorder="1" applyAlignment="1">
      <alignment/>
    </xf>
    <xf numFmtId="3" fontId="4" fillId="38" borderId="31" xfId="0" applyNumberFormat="1" applyFont="1" applyFill="1" applyBorder="1" applyAlignment="1">
      <alignment/>
    </xf>
    <xf numFmtId="4" fontId="4" fillId="38" borderId="32" xfId="0" applyNumberFormat="1" applyFont="1" applyFill="1" applyBorder="1" applyAlignment="1">
      <alignment/>
    </xf>
    <xf numFmtId="3" fontId="4" fillId="38" borderId="32" xfId="0" applyNumberFormat="1" applyFont="1" applyFill="1" applyBorder="1" applyAlignment="1">
      <alignment/>
    </xf>
    <xf numFmtId="3" fontId="4" fillId="38" borderId="33" xfId="0" applyNumberFormat="1" applyFont="1" applyFill="1" applyBorder="1" applyAlignment="1">
      <alignment/>
    </xf>
    <xf numFmtId="4" fontId="4" fillId="38" borderId="34" xfId="0" applyNumberFormat="1" applyFont="1" applyFill="1" applyBorder="1" applyAlignment="1">
      <alignment/>
    </xf>
    <xf numFmtId="4" fontId="4" fillId="38" borderId="35" xfId="0" applyNumberFormat="1" applyFont="1" applyFill="1" applyBorder="1" applyAlignment="1">
      <alignment/>
    </xf>
    <xf numFmtId="0" fontId="4" fillId="37" borderId="36" xfId="0" applyFont="1" applyFill="1" applyBorder="1" applyAlignment="1">
      <alignment horizontal="center" vertical="center" wrapText="1"/>
    </xf>
    <xf numFmtId="0" fontId="4" fillId="37" borderId="37" xfId="0" applyFont="1" applyFill="1" applyBorder="1" applyAlignment="1">
      <alignment horizontal="center" vertical="center" wrapText="1"/>
    </xf>
    <xf numFmtId="4" fontId="2" fillId="0" borderId="38" xfId="0" applyNumberFormat="1" applyFont="1" applyBorder="1" applyAlignment="1">
      <alignment/>
    </xf>
    <xf numFmtId="4" fontId="4" fillId="38" borderId="31" xfId="0" applyNumberFormat="1" applyFont="1" applyFill="1" applyBorder="1" applyAlignment="1">
      <alignment/>
    </xf>
    <xf numFmtId="4" fontId="4" fillId="38" borderId="39" xfId="0" applyNumberFormat="1" applyFont="1" applyFill="1" applyBorder="1" applyAlignment="1">
      <alignment/>
    </xf>
    <xf numFmtId="2" fontId="2" fillId="0" borderId="38" xfId="0" applyNumberFormat="1" applyFont="1" applyBorder="1" applyAlignment="1">
      <alignment/>
    </xf>
    <xf numFmtId="2" fontId="4" fillId="38" borderId="32" xfId="0" applyNumberFormat="1" applyFont="1" applyFill="1" applyBorder="1" applyAlignment="1">
      <alignment/>
    </xf>
    <xf numFmtId="2" fontId="4" fillId="38" borderId="39" xfId="0" applyNumberFormat="1" applyFont="1" applyFill="1" applyBorder="1" applyAlignment="1">
      <alignment/>
    </xf>
    <xf numFmtId="4" fontId="2" fillId="0" borderId="29" xfId="0" applyNumberFormat="1" applyFont="1" applyBorder="1" applyAlignment="1">
      <alignment/>
    </xf>
    <xf numFmtId="4" fontId="2" fillId="0" borderId="30" xfId="0" applyNumberFormat="1" applyFont="1" applyBorder="1" applyAlignment="1">
      <alignment/>
    </xf>
    <xf numFmtId="4" fontId="2" fillId="0" borderId="40" xfId="0" applyNumberFormat="1" applyFont="1" applyBorder="1" applyAlignment="1">
      <alignment/>
    </xf>
    <xf numFmtId="3" fontId="2" fillId="0" borderId="41" xfId="0" applyNumberFormat="1" applyFont="1" applyBorder="1" applyAlignment="1">
      <alignment/>
    </xf>
    <xf numFmtId="4" fontId="4" fillId="38" borderId="38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173" fontId="2" fillId="0" borderId="0" xfId="0" applyNumberFormat="1" applyFont="1" applyFill="1" applyAlignment="1">
      <alignment/>
    </xf>
    <xf numFmtId="0" fontId="2" fillId="0" borderId="42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left"/>
    </xf>
    <xf numFmtId="49" fontId="2" fillId="0" borderId="43" xfId="0" applyNumberFormat="1" applyFont="1" applyFill="1" applyBorder="1" applyAlignment="1">
      <alignment horizontal="left"/>
    </xf>
    <xf numFmtId="0" fontId="2" fillId="0" borderId="44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4" fontId="2" fillId="40" borderId="41" xfId="0" applyNumberFormat="1" applyFont="1" applyFill="1" applyBorder="1" applyAlignment="1">
      <alignment/>
    </xf>
    <xf numFmtId="4" fontId="2" fillId="40" borderId="46" xfId="0" applyNumberFormat="1" applyFont="1" applyFill="1" applyBorder="1" applyAlignment="1">
      <alignment/>
    </xf>
    <xf numFmtId="3" fontId="2" fillId="40" borderId="20" xfId="0" applyNumberFormat="1" applyFont="1" applyFill="1" applyBorder="1" applyAlignment="1">
      <alignment/>
    </xf>
    <xf numFmtId="4" fontId="2" fillId="40" borderId="14" xfId="0" applyNumberFormat="1" applyFont="1" applyFill="1" applyBorder="1" applyAlignment="1">
      <alignment/>
    </xf>
    <xf numFmtId="3" fontId="2" fillId="40" borderId="14" xfId="0" applyNumberFormat="1" applyFont="1" applyFill="1" applyBorder="1" applyAlignment="1">
      <alignment/>
    </xf>
    <xf numFmtId="4" fontId="2" fillId="40" borderId="38" xfId="0" applyNumberFormat="1" applyFont="1" applyFill="1" applyBorder="1" applyAlignment="1">
      <alignment/>
    </xf>
    <xf numFmtId="4" fontId="2" fillId="0" borderId="47" xfId="0" applyNumberFormat="1" applyFont="1" applyBorder="1" applyAlignment="1">
      <alignment/>
    </xf>
    <xf numFmtId="0" fontId="16" fillId="0" borderId="0" xfId="0" applyFont="1" applyBorder="1" applyAlignment="1">
      <alignment/>
    </xf>
    <xf numFmtId="4" fontId="16" fillId="0" borderId="0" xfId="0" applyNumberFormat="1" applyFont="1" applyBorder="1" applyAlignment="1">
      <alignment/>
    </xf>
    <xf numFmtId="14" fontId="2" fillId="41" borderId="0" xfId="0" applyNumberFormat="1" applyFont="1" applyFill="1" applyAlignment="1">
      <alignment/>
    </xf>
    <xf numFmtId="4" fontId="4" fillId="42" borderId="0" xfId="0" applyNumberFormat="1" applyFont="1" applyFill="1" applyAlignment="1">
      <alignment/>
    </xf>
    <xf numFmtId="173" fontId="4" fillId="42" borderId="0" xfId="0" applyNumberFormat="1" applyFont="1" applyFill="1" applyAlignment="1">
      <alignment horizontal="center" wrapText="1"/>
    </xf>
    <xf numFmtId="0" fontId="4" fillId="42" borderId="0" xfId="0" applyFont="1" applyFill="1" applyAlignment="1">
      <alignment/>
    </xf>
    <xf numFmtId="0" fontId="9" fillId="41" borderId="0" xfId="0" applyFont="1" applyFill="1" applyAlignment="1">
      <alignment/>
    </xf>
    <xf numFmtId="0" fontId="2" fillId="41" borderId="0" xfId="0" applyFont="1" applyFill="1" applyAlignment="1">
      <alignment/>
    </xf>
    <xf numFmtId="173" fontId="2" fillId="41" borderId="0" xfId="0" applyNumberFormat="1" applyFont="1" applyFill="1" applyAlignment="1">
      <alignment/>
    </xf>
    <xf numFmtId="4" fontId="2" fillId="41" borderId="0" xfId="53" applyNumberFormat="1" applyFont="1" applyFill="1" applyAlignment="1">
      <alignment/>
    </xf>
    <xf numFmtId="3" fontId="2" fillId="41" borderId="0" xfId="0" applyNumberFormat="1" applyFont="1" applyFill="1" applyAlignment="1">
      <alignment/>
    </xf>
    <xf numFmtId="4" fontId="2" fillId="41" borderId="0" xfId="0" applyNumberFormat="1" applyFont="1" applyFill="1" applyAlignment="1">
      <alignment/>
    </xf>
    <xf numFmtId="0" fontId="4" fillId="43" borderId="0" xfId="0" applyFont="1" applyFill="1" applyAlignment="1">
      <alignment/>
    </xf>
    <xf numFmtId="4" fontId="2" fillId="43" borderId="0" xfId="0" applyNumberFormat="1" applyFont="1" applyFill="1" applyAlignment="1">
      <alignment/>
    </xf>
    <xf numFmtId="4" fontId="2" fillId="42" borderId="0" xfId="0" applyNumberFormat="1" applyFont="1" applyFill="1" applyAlignment="1">
      <alignment/>
    </xf>
    <xf numFmtId="49" fontId="2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4" fillId="43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2" fillId="42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49" fontId="0" fillId="0" borderId="0" xfId="60" applyNumberFormat="1">
      <alignment/>
      <protection/>
    </xf>
    <xf numFmtId="4" fontId="0" fillId="0" borderId="0" xfId="60" applyNumberFormat="1">
      <alignment/>
      <protection/>
    </xf>
    <xf numFmtId="14" fontId="0" fillId="0" borderId="0" xfId="60" applyNumberFormat="1">
      <alignment/>
      <protection/>
    </xf>
    <xf numFmtId="173" fontId="17" fillId="0" borderId="0" xfId="0" applyNumberFormat="1" applyFont="1" applyAlignment="1">
      <alignment/>
    </xf>
    <xf numFmtId="49" fontId="0" fillId="0" borderId="0" xfId="60" applyNumberFormat="1" applyFont="1">
      <alignment/>
      <protection/>
    </xf>
    <xf numFmtId="49" fontId="0" fillId="0" borderId="0" xfId="60" applyNumberFormat="1" applyFont="1" applyAlignment="1">
      <alignment horizontal="right"/>
      <protection/>
    </xf>
    <xf numFmtId="49" fontId="0" fillId="0" borderId="0" xfId="60" applyNumberFormat="1" applyFont="1">
      <alignment/>
      <protection/>
    </xf>
    <xf numFmtId="49" fontId="0" fillId="0" borderId="0" xfId="59" applyNumberFormat="1" applyFont="1">
      <alignment/>
      <protection/>
    </xf>
    <xf numFmtId="173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9" fontId="0" fillId="0" borderId="0" xfId="59" applyNumberFormat="1" applyFont="1" applyFill="1">
      <alignment/>
      <protection/>
    </xf>
    <xf numFmtId="0" fontId="0" fillId="0" borderId="0" xfId="59" applyFont="1">
      <alignment/>
      <protection/>
    </xf>
    <xf numFmtId="3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14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14" fontId="0" fillId="0" borderId="0" xfId="59" applyNumberFormat="1" applyFont="1" applyFill="1" applyAlignment="1">
      <alignment/>
      <protection/>
    </xf>
    <xf numFmtId="3" fontId="4" fillId="44" borderId="0" xfId="0" applyNumberFormat="1" applyFont="1" applyFill="1" applyAlignment="1">
      <alignment horizontal="center" wrapText="1"/>
    </xf>
    <xf numFmtId="3" fontId="4" fillId="45" borderId="0" xfId="0" applyNumberFormat="1" applyFont="1" applyFill="1" applyAlignment="1">
      <alignment horizontal="center" wrapText="1"/>
    </xf>
    <xf numFmtId="3" fontId="4" fillId="46" borderId="0" xfId="0" applyNumberFormat="1" applyFont="1" applyFill="1" applyAlignment="1">
      <alignment horizontal="center" wrapText="1"/>
    </xf>
    <xf numFmtId="173" fontId="0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4" fontId="0" fillId="0" borderId="0" xfId="60" applyNumberFormat="1" applyFont="1">
      <alignment/>
      <protection/>
    </xf>
    <xf numFmtId="49" fontId="0" fillId="0" borderId="0" xfId="60" applyNumberFormat="1" applyFont="1">
      <alignment/>
      <protection/>
    </xf>
    <xf numFmtId="4" fontId="0" fillId="0" borderId="0" xfId="60" applyNumberFormat="1" applyFont="1">
      <alignment/>
      <protection/>
    </xf>
    <xf numFmtId="14" fontId="0" fillId="0" borderId="0" xfId="59" applyNumberFormat="1" applyFont="1">
      <alignment/>
      <protection/>
    </xf>
    <xf numFmtId="173" fontId="0" fillId="0" borderId="0" xfId="0" applyNumberFormat="1" applyFont="1" applyAlignment="1">
      <alignment/>
    </xf>
    <xf numFmtId="16" fontId="0" fillId="0" borderId="0" xfId="0" applyNumberFormat="1" applyFont="1" applyFill="1" applyAlignment="1">
      <alignment/>
    </xf>
    <xf numFmtId="4" fontId="0" fillId="0" borderId="0" xfId="59" applyNumberFormat="1" applyFont="1">
      <alignment/>
      <protection/>
    </xf>
    <xf numFmtId="49" fontId="0" fillId="0" borderId="0" xfId="0" applyNumberFormat="1" applyFont="1" applyFill="1" applyAlignment="1">
      <alignment/>
    </xf>
    <xf numFmtId="14" fontId="0" fillId="0" borderId="0" xfId="59" applyNumberFormat="1" applyFont="1" applyFill="1">
      <alignment/>
      <protection/>
    </xf>
    <xf numFmtId="1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right"/>
    </xf>
    <xf numFmtId="49" fontId="0" fillId="0" borderId="0" xfId="0" applyNumberFormat="1" applyFont="1" applyAlignment="1">
      <alignment horizontal="right"/>
    </xf>
    <xf numFmtId="2" fontId="9" fillId="0" borderId="19" xfId="0" applyNumberFormat="1" applyFont="1" applyBorder="1" applyAlignment="1">
      <alignment horizontal="center"/>
    </xf>
    <xf numFmtId="0" fontId="12" fillId="47" borderId="48" xfId="0" applyFont="1" applyFill="1" applyBorder="1" applyAlignment="1">
      <alignment horizontal="center"/>
    </xf>
    <xf numFmtId="0" fontId="12" fillId="47" borderId="49" xfId="0" applyFont="1" applyFill="1" applyBorder="1" applyAlignment="1">
      <alignment horizontal="center"/>
    </xf>
    <xf numFmtId="0" fontId="12" fillId="47" borderId="22" xfId="0" applyFont="1" applyFill="1" applyBorder="1" applyAlignment="1">
      <alignment horizontal="center"/>
    </xf>
    <xf numFmtId="0" fontId="13" fillId="37" borderId="0" xfId="0" applyFont="1" applyFill="1" applyBorder="1" applyAlignment="1">
      <alignment/>
    </xf>
    <xf numFmtId="0" fontId="4" fillId="37" borderId="50" xfId="0" applyFont="1" applyFill="1" applyBorder="1" applyAlignment="1">
      <alignment horizontal="center" vertical="center" wrapText="1"/>
    </xf>
    <xf numFmtId="0" fontId="4" fillId="37" borderId="27" xfId="0" applyFont="1" applyFill="1" applyBorder="1" applyAlignment="1">
      <alignment horizontal="center" vertical="center" wrapText="1"/>
    </xf>
    <xf numFmtId="0" fontId="4" fillId="37" borderId="51" xfId="0" applyFont="1" applyFill="1" applyBorder="1" applyAlignment="1">
      <alignment horizontal="center" vertical="center" wrapText="1"/>
    </xf>
    <xf numFmtId="0" fontId="4" fillId="37" borderId="52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4" fillId="37" borderId="53" xfId="0" applyFont="1" applyFill="1" applyBorder="1" applyAlignment="1">
      <alignment horizontal="center" vertical="center" wrapText="1"/>
    </xf>
    <xf numFmtId="0" fontId="4" fillId="37" borderId="54" xfId="0" applyFont="1" applyFill="1" applyBorder="1" applyAlignment="1">
      <alignment horizontal="center"/>
    </xf>
    <xf numFmtId="0" fontId="4" fillId="37" borderId="55" xfId="0" applyFont="1" applyFill="1" applyBorder="1" applyAlignment="1">
      <alignment horizontal="center"/>
    </xf>
    <xf numFmtId="0" fontId="4" fillId="37" borderId="36" xfId="0" applyFont="1" applyFill="1" applyBorder="1" applyAlignment="1">
      <alignment horizontal="center"/>
    </xf>
    <xf numFmtId="0" fontId="4" fillId="37" borderId="27" xfId="0" applyFont="1" applyFill="1" applyBorder="1" applyAlignment="1">
      <alignment horizontal="center"/>
    </xf>
    <xf numFmtId="0" fontId="4" fillId="37" borderId="37" xfId="0" applyFont="1" applyFill="1" applyBorder="1" applyAlignment="1">
      <alignment horizontal="center"/>
    </xf>
    <xf numFmtId="0" fontId="4" fillId="37" borderId="41" xfId="0" applyFont="1" applyFill="1" applyBorder="1" applyAlignment="1">
      <alignment horizontal="center"/>
    </xf>
    <xf numFmtId="0" fontId="4" fillId="37" borderId="46" xfId="0" applyFont="1" applyFill="1" applyBorder="1" applyAlignment="1">
      <alignment horizontal="center"/>
    </xf>
    <xf numFmtId="0" fontId="4" fillId="37" borderId="21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4" fillId="37" borderId="28" xfId="0" applyFont="1" applyFill="1" applyBorder="1" applyAlignment="1">
      <alignment horizontal="center"/>
    </xf>
    <xf numFmtId="0" fontId="4" fillId="38" borderId="42" xfId="0" applyFont="1" applyFill="1" applyBorder="1" applyAlignment="1">
      <alignment/>
    </xf>
    <xf numFmtId="0" fontId="4" fillId="38" borderId="0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4" fillId="38" borderId="56" xfId="0" applyFont="1" applyFill="1" applyBorder="1" applyAlignment="1">
      <alignment horizontal="right"/>
    </xf>
    <xf numFmtId="0" fontId="4" fillId="38" borderId="57" xfId="0" applyFont="1" applyFill="1" applyBorder="1" applyAlignment="1">
      <alignment horizontal="right"/>
    </xf>
    <xf numFmtId="0" fontId="4" fillId="37" borderId="58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4" fillId="37" borderId="36" xfId="0" applyFont="1" applyFill="1" applyBorder="1" applyAlignment="1">
      <alignment horizontal="center" wrapText="1"/>
    </xf>
    <xf numFmtId="0" fontId="4" fillId="37" borderId="27" xfId="0" applyFont="1" applyFill="1" applyBorder="1" applyAlignment="1">
      <alignment horizontal="center" wrapText="1"/>
    </xf>
    <xf numFmtId="0" fontId="4" fillId="37" borderId="37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left"/>
    </xf>
    <xf numFmtId="49" fontId="2" fillId="0" borderId="43" xfId="0" applyNumberFormat="1" applyFont="1" applyFill="1" applyBorder="1" applyAlignment="1">
      <alignment horizontal="left"/>
    </xf>
    <xf numFmtId="0" fontId="2" fillId="0" borderId="59" xfId="0" applyFont="1" applyFill="1" applyBorder="1" applyAlignment="1">
      <alignment/>
    </xf>
    <xf numFmtId="0" fontId="4" fillId="48" borderId="60" xfId="0" applyFont="1" applyFill="1" applyBorder="1" applyAlignment="1">
      <alignment horizontal="right"/>
    </xf>
    <xf numFmtId="0" fontId="4" fillId="48" borderId="61" xfId="0" applyFont="1" applyFill="1" applyBorder="1" applyAlignment="1">
      <alignment horizontal="right"/>
    </xf>
    <xf numFmtId="0" fontId="4" fillId="48" borderId="62" xfId="0" applyFont="1" applyFill="1" applyBorder="1" applyAlignment="1">
      <alignment horizontal="right"/>
    </xf>
    <xf numFmtId="0" fontId="4" fillId="38" borderId="63" xfId="0" applyFont="1" applyFill="1" applyBorder="1" applyAlignment="1">
      <alignment/>
    </xf>
    <xf numFmtId="0" fontId="4" fillId="38" borderId="12" xfId="0" applyFont="1" applyFill="1" applyBorder="1" applyAlignment="1">
      <alignment/>
    </xf>
    <xf numFmtId="0" fontId="4" fillId="38" borderId="48" xfId="0" applyFont="1" applyFill="1" applyBorder="1" applyAlignment="1">
      <alignment/>
    </xf>
    <xf numFmtId="0" fontId="4" fillId="38" borderId="64" xfId="0" applyFont="1" applyFill="1" applyBorder="1" applyAlignment="1">
      <alignment/>
    </xf>
    <xf numFmtId="0" fontId="4" fillId="38" borderId="13" xfId="0" applyFont="1" applyFill="1" applyBorder="1" applyAlignment="1">
      <alignment/>
    </xf>
    <xf numFmtId="0" fontId="4" fillId="38" borderId="17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4" fillId="48" borderId="65" xfId="0" applyFont="1" applyFill="1" applyBorder="1" applyAlignment="1">
      <alignment horizontal="right"/>
    </xf>
    <xf numFmtId="0" fontId="4" fillId="48" borderId="34" xfId="0" applyFont="1" applyFill="1" applyBorder="1" applyAlignment="1">
      <alignment horizontal="right"/>
    </xf>
    <xf numFmtId="0" fontId="4" fillId="48" borderId="66" xfId="0" applyFont="1" applyFill="1" applyBorder="1" applyAlignment="1">
      <alignment horizontal="right"/>
    </xf>
    <xf numFmtId="0" fontId="2" fillId="0" borderId="49" xfId="0" applyFont="1" applyFill="1" applyBorder="1" applyAlignment="1">
      <alignment/>
    </xf>
    <xf numFmtId="0" fontId="2" fillId="0" borderId="67" xfId="0" applyFont="1" applyFill="1" applyBorder="1" applyAlignment="1">
      <alignment/>
    </xf>
    <xf numFmtId="0" fontId="4" fillId="48" borderId="68" xfId="0" applyFont="1" applyFill="1" applyBorder="1" applyAlignment="1">
      <alignment horizontal="right"/>
    </xf>
    <xf numFmtId="0" fontId="4" fillId="48" borderId="32" xfId="0" applyFont="1" applyFill="1" applyBorder="1" applyAlignment="1">
      <alignment horizontal="right"/>
    </xf>
    <xf numFmtId="0" fontId="4" fillId="48" borderId="30" xfId="0" applyFont="1" applyFill="1" applyBorder="1" applyAlignment="1">
      <alignment horizontal="right"/>
    </xf>
    <xf numFmtId="0" fontId="2" fillId="40" borderId="69" xfId="0" applyFont="1" applyFill="1" applyBorder="1" applyAlignment="1">
      <alignment horizontal="left" vertical="top" wrapText="1"/>
    </xf>
    <xf numFmtId="0" fontId="2" fillId="40" borderId="70" xfId="0" applyFont="1" applyFill="1" applyBorder="1" applyAlignment="1">
      <alignment horizontal="left" vertical="top" wrapText="1"/>
    </xf>
    <xf numFmtId="0" fontId="4" fillId="48" borderId="71" xfId="0" applyFont="1" applyFill="1" applyBorder="1" applyAlignment="1">
      <alignment horizontal="right"/>
    </xf>
    <xf numFmtId="0" fontId="4" fillId="48" borderId="72" xfId="0" applyFont="1" applyFill="1" applyBorder="1" applyAlignment="1">
      <alignment horizontal="right"/>
    </xf>
    <xf numFmtId="0" fontId="4" fillId="48" borderId="73" xfId="0" applyFont="1" applyFill="1" applyBorder="1" applyAlignment="1">
      <alignment horizontal="right"/>
    </xf>
    <xf numFmtId="0" fontId="4" fillId="37" borderId="50" xfId="0" applyFont="1" applyFill="1" applyBorder="1" applyAlignment="1">
      <alignment horizontal="center" wrapText="1"/>
    </xf>
    <xf numFmtId="0" fontId="2" fillId="0" borderId="27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53" xfId="0" applyFont="1" applyBorder="1" applyAlignment="1">
      <alignment/>
    </xf>
    <xf numFmtId="0" fontId="4" fillId="37" borderId="74" xfId="0" applyFont="1" applyFill="1" applyBorder="1" applyAlignment="1">
      <alignment horizontal="center" wrapText="1"/>
    </xf>
    <xf numFmtId="0" fontId="2" fillId="0" borderId="75" xfId="0" applyFont="1" applyBorder="1" applyAlignment="1">
      <alignment/>
    </xf>
    <xf numFmtId="0" fontId="2" fillId="0" borderId="68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76" xfId="0" applyFont="1" applyBorder="1" applyAlignment="1">
      <alignment horizontal="center"/>
    </xf>
    <xf numFmtId="0" fontId="4" fillId="37" borderId="77" xfId="0" applyFont="1" applyFill="1" applyBorder="1" applyAlignment="1">
      <alignment horizontal="center" wrapText="1"/>
    </xf>
    <xf numFmtId="0" fontId="4" fillId="37" borderId="58" xfId="0" applyFont="1" applyFill="1" applyBorder="1" applyAlignment="1">
      <alignment horizontal="center" wrapText="1"/>
    </xf>
    <xf numFmtId="14" fontId="0" fillId="0" borderId="0" xfId="59" applyNumberFormat="1" applyFont="1" applyAlignment="1">
      <alignment horizontal="center"/>
      <protection/>
    </xf>
  </cellXfs>
  <cellStyles count="52">
    <cellStyle name="Normal" xfId="0"/>
    <cellStyle name="% 20 - Azentua1" xfId="15"/>
    <cellStyle name="% 20 - Azentua2" xfId="16"/>
    <cellStyle name="% 20 - Azentua3" xfId="17"/>
    <cellStyle name="% 20 - Azentua4" xfId="18"/>
    <cellStyle name="% 20 - Azentua5" xfId="19"/>
    <cellStyle name="% 20 - Azentua6" xfId="20"/>
    <cellStyle name="% 40 - Azentua1" xfId="21"/>
    <cellStyle name="% 40 - Azentua2" xfId="22"/>
    <cellStyle name="% 40 - Azentua3" xfId="23"/>
    <cellStyle name="% 40 - Azentua4" xfId="24"/>
    <cellStyle name="% 40 - Azentua5" xfId="25"/>
    <cellStyle name="% 40 - Azentua6" xfId="26"/>
    <cellStyle name="% 60 - Azentua1" xfId="27"/>
    <cellStyle name="% 60 - Azentua2" xfId="28"/>
    <cellStyle name="% 60 - Azentua3" xfId="29"/>
    <cellStyle name="% 60 - Azentua4" xfId="30"/>
    <cellStyle name="% 60 - Azentua5" xfId="31"/>
    <cellStyle name="% 60 - Azentua6" xfId="32"/>
    <cellStyle name="1. izenburua" xfId="33"/>
    <cellStyle name="2. izenburua" xfId="34"/>
    <cellStyle name="3. izenburua" xfId="35"/>
    <cellStyle name="4. izenburua" xfId="36"/>
    <cellStyle name="Azalpen-testua" xfId="37"/>
    <cellStyle name="Azentua1" xfId="38"/>
    <cellStyle name="Azentua2" xfId="39"/>
    <cellStyle name="Azentua3" xfId="40"/>
    <cellStyle name="Azentua4" xfId="41"/>
    <cellStyle name="Azentua5" xfId="42"/>
    <cellStyle name="Azentua6" xfId="43"/>
    <cellStyle name="Followed Hyperlink" xfId="44"/>
    <cellStyle name="Egiaztapen-gelaxka" xfId="45"/>
    <cellStyle name="Percent" xfId="46"/>
    <cellStyle name="Estekatutako gelaxka" xfId="47"/>
    <cellStyle name="Gaizki" xfId="48"/>
    <cellStyle name="Guztira" xfId="49"/>
    <cellStyle name="Hyperlink" xfId="50"/>
    <cellStyle name="Irteera" xfId="51"/>
    <cellStyle name="Kalkulua" xfId="52"/>
    <cellStyle name="Comma" xfId="53"/>
    <cellStyle name="Comma [0]" xfId="54"/>
    <cellStyle name="Currency" xfId="55"/>
    <cellStyle name="Currency [0]" xfId="56"/>
    <cellStyle name="Neutroa" xfId="57"/>
    <cellStyle name="Normala_PAGADO" xfId="58"/>
    <cellStyle name="Normala_xehet1" xfId="59"/>
    <cellStyle name="Normala_xehet32" xfId="60"/>
    <cellStyle name="Oharra" xfId="61"/>
    <cellStyle name="Ohar-testua" xfId="62"/>
    <cellStyle name="Ondo" xfId="63"/>
    <cellStyle name="Sarrera" xfId="64"/>
    <cellStyle name="Titulua" xfId="65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22"/>
      </font>
    </dxf>
    <dxf>
      <font>
        <color indexed="22"/>
      </font>
    </dxf>
    <dxf>
      <font>
        <color indexed="9"/>
      </font>
    </dxf>
    <dxf>
      <font>
        <color indexed="22"/>
      </font>
    </dxf>
    <dxf>
      <font>
        <color indexed="22"/>
      </font>
    </dxf>
    <dxf>
      <font>
        <color indexed="9"/>
      </font>
    </dxf>
    <dxf>
      <font>
        <color indexed="22"/>
      </font>
    </dxf>
    <dxf>
      <font>
        <color indexed="22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Orria1"/>
  <dimension ref="A1:I93"/>
  <sheetViews>
    <sheetView tabSelected="1" zoomScalePageLayoutView="0" workbookViewId="0" topLeftCell="A31">
      <selection activeCell="D6" sqref="D6"/>
    </sheetView>
  </sheetViews>
  <sheetFormatPr defaultColWidth="9.140625" defaultRowHeight="12.75" customHeight="1"/>
  <cols>
    <col min="1" max="1" width="3.140625" style="2" customWidth="1"/>
    <col min="2" max="2" width="4.421875" style="2" bestFit="1" customWidth="1"/>
    <col min="3" max="3" width="34.00390625" style="2" bestFit="1" customWidth="1"/>
    <col min="4" max="9" width="13.7109375" style="2" customWidth="1"/>
    <col min="10" max="16384" width="9.140625" style="2" customWidth="1"/>
  </cols>
  <sheetData>
    <row r="1" spans="1:2" ht="12.75" customHeight="1">
      <c r="A1" s="175">
        <f>SUMSQ(D27:I27,D39:F40,D59:I59,D72:F72,D82:F83,E91:H91)</f>
        <v>4309.922499999236</v>
      </c>
      <c r="B1" s="175"/>
    </row>
    <row r="2" spans="1:9" s="42" customFormat="1" ht="15.75" customHeight="1">
      <c r="A2" s="176" t="s">
        <v>21</v>
      </c>
      <c r="B2" s="177"/>
      <c r="C2" s="177"/>
      <c r="D2" s="177"/>
      <c r="E2" s="177"/>
      <c r="F2" s="177"/>
      <c r="G2" s="177"/>
      <c r="H2" s="177"/>
      <c r="I2" s="178"/>
    </row>
    <row r="3" spans="1:9" s="42" customFormat="1" ht="15.75" customHeight="1">
      <c r="A3" s="43"/>
      <c r="B3" s="44"/>
      <c r="C3" s="45" t="s">
        <v>4</v>
      </c>
      <c r="D3" s="179" t="s">
        <v>401</v>
      </c>
      <c r="E3" s="179"/>
      <c r="F3" s="179"/>
      <c r="G3" s="179"/>
      <c r="H3" s="44"/>
      <c r="I3" s="46"/>
    </row>
    <row r="4" spans="1:9" s="42" customFormat="1" ht="15.75" customHeight="1">
      <c r="A4" s="43"/>
      <c r="B4" s="44"/>
      <c r="C4" s="47" t="s">
        <v>5</v>
      </c>
      <c r="D4" s="48">
        <v>2015</v>
      </c>
      <c r="E4" s="49"/>
      <c r="F4" s="44"/>
      <c r="G4" s="44"/>
      <c r="H4" s="44"/>
      <c r="I4" s="46"/>
    </row>
    <row r="5" spans="1:9" s="42" customFormat="1" ht="15.75" customHeight="1">
      <c r="A5" s="50"/>
      <c r="B5" s="51"/>
      <c r="C5" s="52" t="s">
        <v>6</v>
      </c>
      <c r="D5" s="53">
        <v>3</v>
      </c>
      <c r="E5" s="54"/>
      <c r="F5" s="51"/>
      <c r="G5" s="51"/>
      <c r="H5" s="51"/>
      <c r="I5" s="55"/>
    </row>
    <row r="6" spans="1:9" ht="12.75" customHeight="1">
      <c r="A6" s="19"/>
      <c r="B6" s="19"/>
      <c r="C6" s="20"/>
      <c r="D6" s="21"/>
      <c r="E6" s="21"/>
      <c r="F6" s="19"/>
      <c r="G6" s="19"/>
      <c r="H6" s="19"/>
      <c r="I6" s="19"/>
    </row>
    <row r="7" spans="1:9" ht="12.75" customHeight="1">
      <c r="A7" s="19"/>
      <c r="B7" s="19"/>
      <c r="C7" s="20"/>
      <c r="D7" s="21"/>
      <c r="E7" s="21"/>
      <c r="F7" s="19"/>
      <c r="G7" s="19"/>
      <c r="H7" s="19"/>
      <c r="I7" s="19"/>
    </row>
    <row r="9" s="42" customFormat="1" ht="15.75">
      <c r="A9" s="41" t="s">
        <v>28</v>
      </c>
    </row>
    <row r="10" ht="12.75" customHeight="1">
      <c r="A10" s="4"/>
    </row>
    <row r="11" ht="12.75" customHeight="1">
      <c r="A11" s="4"/>
    </row>
    <row r="12" s="18" customFormat="1" ht="13.5" thickBot="1">
      <c r="A12" s="1" t="s">
        <v>29</v>
      </c>
    </row>
    <row r="13" spans="1:9" ht="12.75" customHeight="1">
      <c r="A13" s="180" t="s">
        <v>22</v>
      </c>
      <c r="B13" s="181"/>
      <c r="C13" s="182"/>
      <c r="D13" s="186" t="s">
        <v>33</v>
      </c>
      <c r="E13" s="187"/>
      <c r="F13" s="188" t="s">
        <v>14</v>
      </c>
      <c r="G13" s="189"/>
      <c r="H13" s="189"/>
      <c r="I13" s="190"/>
    </row>
    <row r="14" spans="1:9" ht="12.75" customHeight="1">
      <c r="A14" s="183"/>
      <c r="B14" s="184"/>
      <c r="C14" s="185"/>
      <c r="D14" s="191" t="s">
        <v>46</v>
      </c>
      <c r="E14" s="192"/>
      <c r="F14" s="193" t="s">
        <v>35</v>
      </c>
      <c r="G14" s="194"/>
      <c r="H14" s="194" t="s">
        <v>36</v>
      </c>
      <c r="I14" s="195"/>
    </row>
    <row r="15" spans="1:9" ht="22.5">
      <c r="A15" s="183"/>
      <c r="B15" s="184"/>
      <c r="C15" s="185"/>
      <c r="D15" s="63" t="s">
        <v>11</v>
      </c>
      <c r="E15" s="23" t="s">
        <v>34</v>
      </c>
      <c r="F15" s="60" t="s">
        <v>12</v>
      </c>
      <c r="G15" s="22" t="s">
        <v>13</v>
      </c>
      <c r="H15" s="22" t="s">
        <v>12</v>
      </c>
      <c r="I15" s="74" t="s">
        <v>13</v>
      </c>
    </row>
    <row r="16" spans="1:9" ht="12.75" customHeight="1">
      <c r="A16" s="196" t="s">
        <v>18</v>
      </c>
      <c r="B16" s="197"/>
      <c r="C16" s="197"/>
      <c r="D16" s="64">
        <f>IF(G16+I16=0,0,(D17*(G17+I17)+D18*(G18+I18)+D19*(G19+I19)+D20*(G20+I20)+D21*(G21+I21))/(G16+I16))</f>
        <v>0</v>
      </c>
      <c r="E16" s="65">
        <f>IF(I16=0,0,(E17*I17+E18*I18+E19*I19+E20*I20+E21*I21)/I16)</f>
        <v>0</v>
      </c>
      <c r="F16" s="61">
        <f>SUM(F17:F21)</f>
        <v>143</v>
      </c>
      <c r="G16" s="24">
        <f>SUM(G17:G21)</f>
        <v>157240.38</v>
      </c>
      <c r="H16" s="25">
        <f>SUM(H17:H21)</f>
        <v>0</v>
      </c>
      <c r="I16" s="95">
        <f>SUM(I17:I21)</f>
        <v>0</v>
      </c>
    </row>
    <row r="17" spans="1:9" ht="12.75" customHeight="1">
      <c r="A17" s="98"/>
      <c r="B17" s="99" t="s">
        <v>0</v>
      </c>
      <c r="C17" s="19" t="s">
        <v>7</v>
      </c>
      <c r="D17" s="66">
        <f>IF(F17+H17=0,0,SUMIF(xehet1!S:S,20,xehet1!T:T)/SUMIF(xehet1!S:S,20,xehet1!D:D))</f>
        <v>0</v>
      </c>
      <c r="E17" s="38">
        <f>IF(H17=0,0,SUMIF(xehet1!V:V,220,xehet1!T:T)/SUMIF(xehet1!V:V,220,xehet1!D:D))</f>
        <v>0</v>
      </c>
      <c r="F17" s="39">
        <f>COUNTIF(xehet1!V:V,120)</f>
        <v>5</v>
      </c>
      <c r="G17" s="26">
        <f>SUMIF(xehet1!V:V,120,xehet1!D:D)</f>
        <v>12173.38</v>
      </c>
      <c r="H17" s="27">
        <f>COUNTIF(xehet1!V:V,220)</f>
        <v>0</v>
      </c>
      <c r="I17" s="85">
        <f>SUMIF(xehet1!V:V,220,xehet1!D:D)</f>
        <v>0</v>
      </c>
    </row>
    <row r="18" spans="1:9" ht="12.75" customHeight="1">
      <c r="A18" s="98"/>
      <c r="B18" s="99" t="s">
        <v>1</v>
      </c>
      <c r="C18" s="19" t="s">
        <v>19</v>
      </c>
      <c r="D18" s="66">
        <f>IF(F18+H18=0,0,SUMIF(xehet1!S:S,21,xehet1!T:T)/SUMIF(xehet1!S:S,21,xehet1!D:D))</f>
        <v>0</v>
      </c>
      <c r="E18" s="38">
        <f>IF(H18=0,0,SUMIF(xehet1!V:V,221,xehet1!T:T)/SUMIF(xehet1!V:V,221,xehet1!D:D))</f>
        <v>0</v>
      </c>
      <c r="F18" s="39">
        <f>COUNTIF(xehet1!V:V,121)</f>
        <v>19</v>
      </c>
      <c r="G18" s="26">
        <f>SUMIF(xehet1!V:V,121,xehet1!D:D)</f>
        <v>6755.67</v>
      </c>
      <c r="H18" s="27">
        <f>COUNTIF(xehet1!V:V,221)</f>
        <v>0</v>
      </c>
      <c r="I18" s="85">
        <f>SUMIF(xehet1!V:V,221,xehet1!D:D)</f>
        <v>0</v>
      </c>
    </row>
    <row r="19" spans="1:9" ht="12.75" customHeight="1">
      <c r="A19" s="98"/>
      <c r="B19" s="99" t="s">
        <v>2</v>
      </c>
      <c r="C19" s="19" t="s">
        <v>8</v>
      </c>
      <c r="D19" s="66">
        <f>IF(F19+H19=0,0,SUMIF(xehet1!S:S,22,xehet1!T:T)/SUMIF(xehet1!S:S,22,xehet1!D:D))</f>
        <v>0</v>
      </c>
      <c r="E19" s="38">
        <f>IF(H19=0,0,SUMIF(xehet1!V:V,222,xehet1!T:T)/SUMIF(xehet1!V:V,222,xehet1!D:D))</f>
        <v>0</v>
      </c>
      <c r="F19" s="39">
        <f>COUNTIF(xehet1!V:V,122)</f>
        <v>17</v>
      </c>
      <c r="G19" s="26">
        <f>SUMIF(xehet1!V:V,122,xehet1!D:D)</f>
        <v>42043.64</v>
      </c>
      <c r="H19" s="27">
        <f>COUNTIF(xehet1!V:V,222)</f>
        <v>0</v>
      </c>
      <c r="I19" s="85">
        <f>SUMIF(xehet1!V:V,222,xehet1!D:D)</f>
        <v>0</v>
      </c>
    </row>
    <row r="20" spans="1:9" ht="12.75" customHeight="1">
      <c r="A20" s="98"/>
      <c r="B20" s="99" t="s">
        <v>3</v>
      </c>
      <c r="C20" s="19" t="s">
        <v>9</v>
      </c>
      <c r="D20" s="66">
        <f>IF(F20+H20=0,0,SUMIF(xehet1!S:S,23,xehet1!T:T)/SUMIF(xehet1!S:S,23,xehet1!D:D))</f>
        <v>0</v>
      </c>
      <c r="E20" s="38">
        <f>IF(H20=0,0,SUMIF(xehet1!V:V,223,xehet1!T:T)/SUMIF(xehet1!V:V,223,xehet1!D:D))</f>
        <v>0</v>
      </c>
      <c r="F20" s="39">
        <f>COUNTIF(xehet1!V:V,123)</f>
        <v>0</v>
      </c>
      <c r="G20" s="26">
        <f>SUMIF(xehet1!V:V,123,xehet1!D:D)</f>
        <v>0</v>
      </c>
      <c r="H20" s="27">
        <f>COUNTIF(xehet1!V:V,223)</f>
        <v>0</v>
      </c>
      <c r="I20" s="85">
        <f>SUMIF(xehet1!V:V,223,xehet1!D:D)</f>
        <v>0</v>
      </c>
    </row>
    <row r="21" spans="1:9" ht="12.75" customHeight="1">
      <c r="A21" s="98"/>
      <c r="B21" s="99" t="s">
        <v>24</v>
      </c>
      <c r="C21" s="19" t="s">
        <v>23</v>
      </c>
      <c r="D21" s="66">
        <f>IF(F21+H21=0,0,SUMIF(xehet1!S:S,29,xehet1!T:T)/SUMIF(xehet1!S:S,29,xehet1!D:D))</f>
        <v>0</v>
      </c>
      <c r="E21" s="38">
        <f>IF(H21=0,0,SUMIF(xehet1!V:V,229,xehet1!T:T)/SUMIF(xehet1!V:V,229,xehet1!D:D))</f>
        <v>0</v>
      </c>
      <c r="F21" s="39">
        <f>COUNTIF(xehet1!V:V,129)</f>
        <v>102</v>
      </c>
      <c r="G21" s="26">
        <f>SUMIF(xehet1!V:V,129,xehet1!D:D)</f>
        <v>96267.68999999999</v>
      </c>
      <c r="H21" s="27">
        <f>COUNTIF(xehet1!V:V,229)</f>
        <v>0</v>
      </c>
      <c r="I21" s="85">
        <f>SUMIF(xehet1!V:V,229,xehet1!D:D)</f>
        <v>0</v>
      </c>
    </row>
    <row r="22" spans="1:9" ht="12.75" customHeight="1">
      <c r="A22" s="196" t="s">
        <v>10</v>
      </c>
      <c r="B22" s="197"/>
      <c r="C22" s="197"/>
      <c r="D22" s="64">
        <f aca="true" t="shared" si="0" ref="D22:I22">D23</f>
        <v>0</v>
      </c>
      <c r="E22" s="65">
        <f t="shared" si="0"/>
        <v>0</v>
      </c>
      <c r="F22" s="62">
        <f t="shared" si="0"/>
        <v>4</v>
      </c>
      <c r="G22" s="29">
        <f t="shared" si="0"/>
        <v>1754.22</v>
      </c>
      <c r="H22" s="28">
        <f t="shared" si="0"/>
        <v>0</v>
      </c>
      <c r="I22" s="95">
        <f t="shared" si="0"/>
        <v>0</v>
      </c>
    </row>
    <row r="23" spans="1:9" ht="12.75" customHeight="1">
      <c r="A23" s="98"/>
      <c r="B23" s="100" t="s">
        <v>26</v>
      </c>
      <c r="C23" s="101" t="s">
        <v>27</v>
      </c>
      <c r="D23" s="66">
        <f>IF(F23+H23=0,0,SUMIF(xehet1!S:S,69,xehet1!T:T)/SUMIF(xehet1!S:S,69,xehet1!D:D))</f>
        <v>0</v>
      </c>
      <c r="E23" s="38">
        <f>IF(H23=0,0,SUMIF(xehet1!V:V,269,xehet1!T:T)/SUMIF(xehet1!V:V,269,xehet1!D:D))</f>
        <v>0</v>
      </c>
      <c r="F23" s="39">
        <f>COUNTIF(xehet1!V:V,169)</f>
        <v>4</v>
      </c>
      <c r="G23" s="26">
        <f>SUMIF(xehet1!V:V,169,xehet1!D:D)</f>
        <v>1754.22</v>
      </c>
      <c r="H23" s="27">
        <f>COUNTIF(xehet1!V:V,269)</f>
        <v>0</v>
      </c>
      <c r="I23" s="85">
        <f>SUMIF(xehet1!V:V,269,xehet1!D:D)</f>
        <v>0</v>
      </c>
    </row>
    <row r="24" spans="1:9" ht="12.75" customHeight="1">
      <c r="A24" s="196" t="s">
        <v>66</v>
      </c>
      <c r="B24" s="197"/>
      <c r="C24" s="197"/>
      <c r="D24" s="64">
        <f aca="true" t="shared" si="1" ref="D24:I24">D25</f>
        <v>0</v>
      </c>
      <c r="E24" s="65">
        <f t="shared" si="1"/>
        <v>0</v>
      </c>
      <c r="F24" s="62">
        <f t="shared" si="1"/>
        <v>0</v>
      </c>
      <c r="G24" s="29">
        <f t="shared" si="1"/>
        <v>0</v>
      </c>
      <c r="H24" s="28">
        <f t="shared" si="1"/>
        <v>0</v>
      </c>
      <c r="I24" s="95">
        <f t="shared" si="1"/>
        <v>0</v>
      </c>
    </row>
    <row r="25" spans="1:9" ht="12.75" customHeight="1">
      <c r="A25" s="98"/>
      <c r="B25" s="198" t="s">
        <v>25</v>
      </c>
      <c r="C25" s="198"/>
      <c r="D25" s="106"/>
      <c r="E25" s="107"/>
      <c r="F25" s="108"/>
      <c r="G25" s="109"/>
      <c r="H25" s="110"/>
      <c r="I25" s="111"/>
    </row>
    <row r="26" spans="1:9" ht="12.75" customHeight="1" thickBot="1">
      <c r="A26" s="199" t="s">
        <v>11</v>
      </c>
      <c r="B26" s="200"/>
      <c r="C26" s="200"/>
      <c r="D26" s="75">
        <f>IF(G26+I26=0,0,(D16*(G16+I16)+D22*(G22+I22)+D24*(G24+I24))/(G26+I26))</f>
        <v>0</v>
      </c>
      <c r="E26" s="76">
        <f>IF(I26=0,0,(E16*I16+E22*I22+E24*I24)/I26)</f>
        <v>0</v>
      </c>
      <c r="F26" s="77">
        <f>F16+F22+F24</f>
        <v>147</v>
      </c>
      <c r="G26" s="78">
        <f>G16+G22+G24</f>
        <v>158994.6</v>
      </c>
      <c r="H26" s="79">
        <f>H16+H22+H24</f>
        <v>0</v>
      </c>
      <c r="I26" s="82">
        <f>I16+I22+I24</f>
        <v>0</v>
      </c>
    </row>
    <row r="27" spans="1:9" ht="12.75" customHeight="1">
      <c r="A27" s="2" t="s">
        <v>68</v>
      </c>
      <c r="D27" s="72">
        <f>IF(SUM(xehet1!D:D)=0,0,SUM(xehet1!T:T)/SUM(xehet1!D:D))-IF((G16+I16+G22+I22)=0,0,(D16*(G16+I16)+D22*(G22+I22))/(G16+I16+G22+I22))</f>
        <v>0</v>
      </c>
      <c r="E27" s="72">
        <f>IF(SUMIF(xehet1!V:V,"&gt;199",xehet1!D:D)=0,0,SUMIF(xehet1!V:V,"&gt;199",xehet1!T:T)/SUMIF(xehet1!V:V,"&gt;199",xehet1!D:D))-IF(I16+I22=0,0,(E16*I16+E22*I22)/(I16+I22))</f>
        <v>0</v>
      </c>
      <c r="F27" s="72"/>
      <c r="G27" s="72"/>
      <c r="H27" s="72"/>
      <c r="I27" s="72"/>
    </row>
    <row r="28" spans="4:9" ht="12.75" customHeight="1">
      <c r="D28" s="34"/>
      <c r="E28" s="34"/>
      <c r="F28" s="34"/>
      <c r="G28" s="34"/>
      <c r="H28" s="34"/>
      <c r="I28" s="34"/>
    </row>
    <row r="29" spans="4:9" ht="12.75" customHeight="1">
      <c r="D29" s="34"/>
      <c r="E29" s="34"/>
      <c r="F29" s="34"/>
      <c r="G29" s="34"/>
      <c r="H29" s="34"/>
      <c r="I29" s="34"/>
    </row>
    <row r="30" ht="13.5" thickBot="1">
      <c r="A30" s="1" t="s">
        <v>30</v>
      </c>
    </row>
    <row r="31" spans="1:7" ht="12.75" customHeight="1">
      <c r="A31" s="180" t="s">
        <v>56</v>
      </c>
      <c r="B31" s="181"/>
      <c r="C31" s="201"/>
      <c r="D31" s="203" t="s">
        <v>57</v>
      </c>
      <c r="E31" s="204"/>
      <c r="F31" s="204"/>
      <c r="G31" s="205"/>
    </row>
    <row r="32" spans="1:7" ht="12.75" customHeight="1">
      <c r="A32" s="183"/>
      <c r="B32" s="184"/>
      <c r="C32" s="202"/>
      <c r="D32" s="60" t="s">
        <v>58</v>
      </c>
      <c r="E32" s="22" t="s">
        <v>59</v>
      </c>
      <c r="F32" s="22" t="s">
        <v>13</v>
      </c>
      <c r="G32" s="74" t="s">
        <v>59</v>
      </c>
    </row>
    <row r="33" spans="1:7" ht="12.75" customHeight="1">
      <c r="A33" s="98"/>
      <c r="B33" s="206" t="s">
        <v>39</v>
      </c>
      <c r="C33" s="207"/>
      <c r="D33" s="70">
        <f>COUNTIF(xehet1!O:O,"&lt;=30")+F25</f>
        <v>143</v>
      </c>
      <c r="E33" s="32">
        <f>IF($D$38=0,0,D33*100/$D$38)</f>
        <v>97.94520547945206</v>
      </c>
      <c r="F33" s="32">
        <f>SUMIF(xehet1!O:O,"&lt;=30",xehet1!D:D)+G25</f>
        <v>158191.8200000001</v>
      </c>
      <c r="G33" s="112">
        <f>IF($F$38=0,0,F33*100/$F$38)</f>
        <v>99.45402449700663</v>
      </c>
    </row>
    <row r="34" spans="1:7" ht="12.75" customHeight="1">
      <c r="A34" s="98"/>
      <c r="B34" s="208" t="s">
        <v>60</v>
      </c>
      <c r="C34" s="209"/>
      <c r="D34" s="71">
        <f>COUNTIF(xehet1!O:O,"&lt;=40")-D33+F25+IF(AND(E25&gt;30,E25&lt;=40),H25)</f>
        <v>2</v>
      </c>
      <c r="E34" s="26">
        <f>IF($D$38=0,0,D34*100/$D$38)</f>
        <v>1.36986301369863</v>
      </c>
      <c r="F34" s="26">
        <f>SUMIF(xehet1!O:O,"&lt;=40",xehet1!D:D)-F33+G25+IF(AND(E25&gt;30,E25&lt;=40),I25)</f>
        <v>818.5300000000279</v>
      </c>
      <c r="G34" s="85">
        <f>IF($F$38=0,0,F34*100/$F$38)</f>
        <v>0.5146037429213316</v>
      </c>
    </row>
    <row r="35" spans="1:7" ht="12.75" customHeight="1">
      <c r="A35" s="98"/>
      <c r="B35" s="102" t="s">
        <v>61</v>
      </c>
      <c r="C35" s="103"/>
      <c r="D35" s="71">
        <f>COUNTIF(xehet1!O:O,"&lt;=50")-SUM(D33:D34)+F25+IF(E25&lt;=50,H25)</f>
        <v>1</v>
      </c>
      <c r="E35" s="26">
        <f>IF($D$38=0,0,D35*100/$D$38)</f>
        <v>0.684931506849315</v>
      </c>
      <c r="F35" s="26">
        <f>SUMIF(xehet1!O:O,"&lt;=50",xehet1!D:D)-SUM(F33:F34)+G25+IF(E25&lt;=50,I25)</f>
        <v>49.89999999999418</v>
      </c>
      <c r="G35" s="85">
        <f>IF($F$38=0,0,F35*100/$F$38)</f>
        <v>0.03137176007204449</v>
      </c>
    </row>
    <row r="36" spans="1:7" ht="12.75" customHeight="1">
      <c r="A36" s="98"/>
      <c r="B36" s="206" t="s">
        <v>62</v>
      </c>
      <c r="C36" s="207"/>
      <c r="D36" s="71">
        <f>COUNTIF(xehet1!O:O,"&lt;=60")-SUM(D33:D35)+F25+IF(E25&lt;=60,H25)</f>
        <v>0</v>
      </c>
      <c r="E36" s="26">
        <f>IF($D$38=0,0,D36*100/$D$38)</f>
        <v>0</v>
      </c>
      <c r="F36" s="26">
        <f>SUMIF(xehet1!O:O,"&lt;=60",xehet1!D:D)-SUM(F33:F35)+G25+IF(E25&lt;=60,I25)</f>
        <v>0</v>
      </c>
      <c r="G36" s="85">
        <f>IF($F$38=0,0,F36*100/$F$38)</f>
        <v>0</v>
      </c>
    </row>
    <row r="37" spans="1:7" ht="12.75" customHeight="1">
      <c r="A37" s="104"/>
      <c r="B37" s="198" t="s">
        <v>63</v>
      </c>
      <c r="C37" s="210"/>
      <c r="D37" s="94">
        <f>COUNTIF(xehet1!O:O,"&gt;60")+IF(E25&gt;60,H25)</f>
        <v>0</v>
      </c>
      <c r="E37" s="26">
        <f>IF($D$38=0,0,D37*100/$D$38)</f>
        <v>0</v>
      </c>
      <c r="F37" s="30">
        <f>SUMIF(xehet1!O:O,"&gt;60",xehet1!D:D)+IF(E25&gt;60,I25)</f>
        <v>0</v>
      </c>
      <c r="G37" s="85">
        <f>IF($F$38=0,0,F37*100/$F$38)</f>
        <v>0</v>
      </c>
    </row>
    <row r="38" spans="1:7" ht="12.75" customHeight="1" thickBot="1">
      <c r="A38" s="211" t="s">
        <v>11</v>
      </c>
      <c r="B38" s="212"/>
      <c r="C38" s="213"/>
      <c r="D38" s="80">
        <f>SUM(D33:D37)</f>
        <v>146</v>
      </c>
      <c r="E38" s="81">
        <f>SUM(E33:E37)</f>
        <v>100</v>
      </c>
      <c r="F38" s="81">
        <f>SUM(F33:F37)</f>
        <v>159060.25000000012</v>
      </c>
      <c r="G38" s="82">
        <f>SUM(G33:G37)</f>
        <v>100.00000000000001</v>
      </c>
    </row>
    <row r="39" spans="1:6" ht="12.75" customHeight="1">
      <c r="A39" s="33"/>
      <c r="B39" s="33"/>
      <c r="C39" s="33"/>
      <c r="D39" s="72"/>
      <c r="E39" s="72"/>
      <c r="F39" s="72"/>
    </row>
    <row r="40" spans="1:6" ht="12.75" customHeight="1">
      <c r="A40" s="33"/>
      <c r="B40" s="33"/>
      <c r="C40" s="33"/>
      <c r="D40" s="72"/>
      <c r="E40" s="72"/>
      <c r="F40" s="72"/>
    </row>
    <row r="41" spans="1:6" ht="12.75" customHeight="1">
      <c r="A41" s="33"/>
      <c r="B41" s="33"/>
      <c r="C41" s="33"/>
      <c r="D41" s="19"/>
      <c r="E41" s="19"/>
      <c r="F41" s="34"/>
    </row>
    <row r="42" s="42" customFormat="1" ht="15.75">
      <c r="A42" s="41" t="s">
        <v>37</v>
      </c>
    </row>
    <row r="43" ht="12.75" customHeight="1">
      <c r="A43" s="4"/>
    </row>
    <row r="44" ht="12.75" customHeight="1" thickBot="1">
      <c r="A44" s="4"/>
    </row>
    <row r="45" spans="1:9" ht="12.75" customHeight="1">
      <c r="A45" s="180" t="s">
        <v>32</v>
      </c>
      <c r="B45" s="181"/>
      <c r="C45" s="182"/>
      <c r="D45" s="186" t="s">
        <v>43</v>
      </c>
      <c r="E45" s="187"/>
      <c r="F45" s="188" t="s">
        <v>16</v>
      </c>
      <c r="G45" s="189"/>
      <c r="H45" s="189"/>
      <c r="I45" s="190"/>
    </row>
    <row r="46" spans="1:9" ht="12.75" customHeight="1">
      <c r="A46" s="183"/>
      <c r="B46" s="184"/>
      <c r="C46" s="185"/>
      <c r="D46" s="191" t="s">
        <v>46</v>
      </c>
      <c r="E46" s="192"/>
      <c r="F46" s="193" t="s">
        <v>35</v>
      </c>
      <c r="G46" s="194"/>
      <c r="H46" s="194" t="s">
        <v>36</v>
      </c>
      <c r="I46" s="195"/>
    </row>
    <row r="47" spans="1:9" ht="22.5">
      <c r="A47" s="183"/>
      <c r="B47" s="184"/>
      <c r="C47" s="185"/>
      <c r="D47" s="63" t="s">
        <v>11</v>
      </c>
      <c r="E47" s="23" t="s">
        <v>34</v>
      </c>
      <c r="F47" s="60" t="s">
        <v>15</v>
      </c>
      <c r="G47" s="22" t="s">
        <v>13</v>
      </c>
      <c r="H47" s="22" t="s">
        <v>15</v>
      </c>
      <c r="I47" s="74" t="s">
        <v>13</v>
      </c>
    </row>
    <row r="48" spans="1:9" ht="12.75" customHeight="1">
      <c r="A48" s="214" t="s">
        <v>18</v>
      </c>
      <c r="B48" s="215"/>
      <c r="C48" s="216"/>
      <c r="D48" s="64">
        <f>IF(G48+I48=0,0,(D49*(G49+I49)+D50*(G50+I50)+D51*(G51+I51)+D52*(G52+I52)+D53*(G53+I53))/(G48+I48))</f>
        <v>0</v>
      </c>
      <c r="E48" s="65">
        <f>IF(I48=0,0,(E49*I49+E50*I50+E51*I51+E52*I52+E53*I53)/I48)</f>
        <v>0</v>
      </c>
      <c r="F48" s="61">
        <f>SUM(F49:F53)</f>
        <v>0</v>
      </c>
      <c r="G48" s="24">
        <f>SUM(G49:G53)</f>
        <v>0</v>
      </c>
      <c r="H48" s="25">
        <f>SUM(H49:H53)</f>
        <v>0</v>
      </c>
      <c r="I48" s="95">
        <f>SUM(I49:I53)</f>
        <v>0</v>
      </c>
    </row>
    <row r="49" spans="1:9" ht="12.75" customHeight="1">
      <c r="A49" s="98"/>
      <c r="B49" s="99" t="s">
        <v>0</v>
      </c>
      <c r="C49" s="19" t="s">
        <v>7</v>
      </c>
      <c r="D49" s="66">
        <f>IF(F49+H49=0,0,SUMIF(xehet2!S:S,20,xehet2!T:T)/SUMIF(xehet2!S:S,20,xehet2!D:D))</f>
        <v>0</v>
      </c>
      <c r="E49" s="38">
        <f>IF(H49=0,0,SUMIF(xehet2!V:V,220,xehet2!T:T)/SUMIF(xehet2!V:V,220,xehet2!D:D))</f>
        <v>0</v>
      </c>
      <c r="F49" s="39">
        <f>COUNTIF(xehet2!V:V,120)</f>
        <v>0</v>
      </c>
      <c r="G49" s="26">
        <f>SUMIF(xehet2!V:V,120,xehet2!D:D)</f>
        <v>0</v>
      </c>
      <c r="H49" s="27">
        <f>COUNTIF(xehet2!V:V,220)</f>
        <v>0</v>
      </c>
      <c r="I49" s="85">
        <f>SUMIF(xehet2!V:V,220,xehet2!D:D)</f>
        <v>0</v>
      </c>
    </row>
    <row r="50" spans="1:9" ht="12.75" customHeight="1">
      <c r="A50" s="98"/>
      <c r="B50" s="99" t="s">
        <v>1</v>
      </c>
      <c r="C50" s="19" t="s">
        <v>87</v>
      </c>
      <c r="D50" s="66">
        <f>IF(F50+H50=0,0,SUMIF(xehet2!S:S,21,xehet2!T:T)/SUMIF(xehet2!S:S,21,xehet2!D:D))</f>
        <v>0</v>
      </c>
      <c r="E50" s="38">
        <f>IF(H50=0,0,SUMIF(xehet2!V:V,221,xehet2!T:T)/SUMIF(xehet2!V:V,221,xehet2!D:D))</f>
        <v>0</v>
      </c>
      <c r="F50" s="39">
        <f>COUNTIF(xehet2!V:V,121)</f>
        <v>0</v>
      </c>
      <c r="G50" s="26">
        <f>SUMIF(xehet2!V:V,121,xehet2!D:D)</f>
        <v>0</v>
      </c>
      <c r="H50" s="27">
        <f>COUNTIF(xehet2!V:V,221)</f>
        <v>0</v>
      </c>
      <c r="I50" s="85">
        <f>SUMIF(xehet2!V:V,221,xehet2!D:D)</f>
        <v>0</v>
      </c>
    </row>
    <row r="51" spans="1:9" ht="12.75" customHeight="1">
      <c r="A51" s="98"/>
      <c r="B51" s="99" t="s">
        <v>2</v>
      </c>
      <c r="C51" s="19" t="s">
        <v>88</v>
      </c>
      <c r="D51" s="66">
        <f>IF(F51+H51=0,0,SUMIF(xehet2!S:S,22,xehet2!T:T)/SUMIF(xehet2!S:S,22,xehet2!D:D))</f>
        <v>0</v>
      </c>
      <c r="E51" s="38">
        <f>IF(H51=0,0,SUMIF(xehet2!V:V,222,xehet2!T:T)/SUMIF(xehet2!V:V,222,xehet2!D:D))</f>
        <v>0</v>
      </c>
      <c r="F51" s="39">
        <f>COUNTIF(xehet2!V:V,122)</f>
        <v>0</v>
      </c>
      <c r="G51" s="26">
        <f>SUMIF(xehet2!V:V,122,xehet2!D:D)</f>
        <v>0</v>
      </c>
      <c r="H51" s="27">
        <f>COUNTIF(xehet2!V:V,222)</f>
        <v>0</v>
      </c>
      <c r="I51" s="85">
        <f>SUMIF(xehet2!V:V,222,xehet2!D:D)</f>
        <v>0</v>
      </c>
    </row>
    <row r="52" spans="1:9" ht="12.75" customHeight="1">
      <c r="A52" s="98"/>
      <c r="B52" s="99" t="s">
        <v>3</v>
      </c>
      <c r="C52" s="19" t="s">
        <v>89</v>
      </c>
      <c r="D52" s="66">
        <f>IF(F52+H52=0,0,SUMIF(xehet2!S:S,23,xehet2!T:T)/SUMIF(xehet2!S:S,23,xehet2!D:D))</f>
        <v>0</v>
      </c>
      <c r="E52" s="38">
        <f>IF(H52=0,0,SUMIF(xehet2!V:V,223,xehet2!T:T)/SUMIF(xehet2!V:V,223,xehet2!D:D))</f>
        <v>0</v>
      </c>
      <c r="F52" s="39">
        <f>COUNTIF(xehet2!V:V,123)</f>
        <v>0</v>
      </c>
      <c r="G52" s="26">
        <f>SUMIF(xehet2!V:V,123,xehet2!D:D)</f>
        <v>0</v>
      </c>
      <c r="H52" s="27">
        <f>COUNTIF(xehet2!V:V,223)</f>
        <v>0</v>
      </c>
      <c r="I52" s="85">
        <f>SUMIF(xehet2!V:V,223,xehet2!D:D)</f>
        <v>0</v>
      </c>
    </row>
    <row r="53" spans="1:9" ht="12.75" customHeight="1">
      <c r="A53" s="98"/>
      <c r="B53" s="99" t="s">
        <v>102</v>
      </c>
      <c r="C53" s="19" t="s">
        <v>23</v>
      </c>
      <c r="D53" s="66">
        <f>IF(F53+H53=0,0,SUMIF(xehet2!S:S,29,xehet2!T:T)/SUMIF(xehet2!S:S,29,xehet2!D:D))</f>
        <v>0</v>
      </c>
      <c r="E53" s="38">
        <f>IF(H53=0,0,SUMIF(xehet2!V:V,229,xehet2!T:T)/SUMIF(xehet2!V:V,229,xehet2!D:D))</f>
        <v>0</v>
      </c>
      <c r="F53" s="39">
        <f>COUNTIF(xehet2!V:V,129)</f>
        <v>0</v>
      </c>
      <c r="G53" s="26">
        <f>SUMIF(xehet2!V:V,129,xehet2!D:D)</f>
        <v>0</v>
      </c>
      <c r="H53" s="27">
        <f>COUNTIF(xehet2!V:V,229)</f>
        <v>0</v>
      </c>
      <c r="I53" s="85">
        <f>SUMIF(xehet2!V:V,229,xehet2!D:D)</f>
        <v>0</v>
      </c>
    </row>
    <row r="54" spans="1:9" ht="12.75" customHeight="1">
      <c r="A54" s="196" t="s">
        <v>10</v>
      </c>
      <c r="B54" s="197"/>
      <c r="C54" s="197"/>
      <c r="D54" s="64">
        <f aca="true" t="shared" si="2" ref="D54:I54">D55</f>
        <v>0</v>
      </c>
      <c r="E54" s="65">
        <f t="shared" si="2"/>
        <v>0</v>
      </c>
      <c r="F54" s="62">
        <f t="shared" si="2"/>
        <v>0</v>
      </c>
      <c r="G54" s="29">
        <f t="shared" si="2"/>
        <v>0</v>
      </c>
      <c r="H54" s="28">
        <f t="shared" si="2"/>
        <v>0</v>
      </c>
      <c r="I54" s="95">
        <f t="shared" si="2"/>
        <v>0</v>
      </c>
    </row>
    <row r="55" spans="1:9" ht="12.75" customHeight="1">
      <c r="A55" s="98"/>
      <c r="B55" s="133">
        <v>69</v>
      </c>
      <c r="C55" s="101" t="s">
        <v>27</v>
      </c>
      <c r="D55" s="66">
        <f>IF(F55+H55=0,0,SUMIF(xehet2!S:S,69,xehet2!T:T)/SUMIF(xehet2!S:S,69,xehet2!D:D))</f>
        <v>0</v>
      </c>
      <c r="E55" s="38">
        <f>IF(H55=0,0,SUMIF(xehet2!V:V,269,xehet2!T:T)/SUMIF(xehet2!V:V,269,xehet2!D:D))</f>
        <v>0</v>
      </c>
      <c r="F55" s="39">
        <f>COUNTIF(xehet2!V:V,169)</f>
        <v>0</v>
      </c>
      <c r="G55" s="26">
        <f>SUMIF(xehet2!V:V,169,xehet2!D:D)</f>
        <v>0</v>
      </c>
      <c r="H55" s="27">
        <f>COUNTIF(xehet2!V:V,269)</f>
        <v>0</v>
      </c>
      <c r="I55" s="85">
        <f>SUMIF(xehet2!V:V,269,xehet2!D:D)</f>
        <v>0</v>
      </c>
    </row>
    <row r="56" spans="1:9" ht="12.75" customHeight="1">
      <c r="A56" s="217" t="s">
        <v>67</v>
      </c>
      <c r="B56" s="218"/>
      <c r="C56" s="219"/>
      <c r="D56" s="64">
        <f aca="true" t="shared" si="3" ref="D56:I56">D57</f>
        <v>0</v>
      </c>
      <c r="E56" s="65">
        <f t="shared" si="3"/>
        <v>0</v>
      </c>
      <c r="F56" s="62">
        <f t="shared" si="3"/>
        <v>0</v>
      </c>
      <c r="G56" s="29">
        <f t="shared" si="3"/>
        <v>0</v>
      </c>
      <c r="H56" s="28">
        <f t="shared" si="3"/>
        <v>0</v>
      </c>
      <c r="I56" s="95">
        <f t="shared" si="3"/>
        <v>0</v>
      </c>
    </row>
    <row r="57" spans="1:9" ht="12.75" customHeight="1">
      <c r="A57" s="98"/>
      <c r="B57" s="220" t="s">
        <v>20</v>
      </c>
      <c r="C57" s="221"/>
      <c r="D57" s="106"/>
      <c r="E57" s="107"/>
      <c r="F57" s="108"/>
      <c r="G57" s="109"/>
      <c r="H57" s="110"/>
      <c r="I57" s="111"/>
    </row>
    <row r="58" spans="1:9" ht="12.75" customHeight="1" thickBot="1">
      <c r="A58" s="222" t="s">
        <v>11</v>
      </c>
      <c r="B58" s="223"/>
      <c r="C58" s="224"/>
      <c r="D58" s="75">
        <f>IF(G58+I58=0,0,(D48*(G48+I48)+D54*(G54+I54)+D56*(G56+I56))/(G58+I58))</f>
        <v>0</v>
      </c>
      <c r="E58" s="76">
        <f>IF(I58=0,0,(E48*I48+E54*I54+E56*I56)/I58)</f>
        <v>0</v>
      </c>
      <c r="F58" s="77">
        <f>F48+F54+F56</f>
        <v>0</v>
      </c>
      <c r="G58" s="78">
        <f>G48+G54+G56</f>
        <v>0</v>
      </c>
      <c r="H58" s="79">
        <f>H48+H54+H56</f>
        <v>0</v>
      </c>
      <c r="I58" s="82">
        <f>I48+I54+I56</f>
        <v>0</v>
      </c>
    </row>
    <row r="59" spans="1:9" ht="12.75" customHeight="1">
      <c r="A59" s="2" t="s">
        <v>68</v>
      </c>
      <c r="D59" s="72">
        <f>IF(SUM(xehet2!D:D)=0,0,SUM(xehet2!T:T)/SUM(xehet2!D:D))-IF((G48+I48+G54+I54)=0,0,(D48*(G48+I48)+D54*(G54+I54))/(G48+I48+G54+I54))</f>
        <v>0</v>
      </c>
      <c r="E59" s="72">
        <f>IF(SUMIF(xehet2!V:V,"&gt;199",xehet2!D:D)=0,0,SUMIF(xehet2!V:V,"&gt;199",xehet2!T:T)/SUMIF(xehet2!V:V,"&gt;199",xehet2!D:D))-IF(I48+I54=0,0,(E48*I48+E54*I54)/(I48+I54))</f>
        <v>0</v>
      </c>
      <c r="F59" s="72">
        <f>COUNTIF(xehet2!P:P,"&lt;=30")-F58+F57</f>
        <v>0</v>
      </c>
      <c r="G59" s="72">
        <f>SUMIF(xehet2!P:P,"&lt;=30",xehet2!D:D)-G58+G57</f>
        <v>0</v>
      </c>
      <c r="H59" s="72">
        <f>COUNTIF(xehet2!P:P,"&gt;30")-H58+H57</f>
        <v>0</v>
      </c>
      <c r="I59" s="72">
        <f>SUMIF(xehet2!P:P,"&gt;30",xehet2!D:D)-I58+I57</f>
        <v>0</v>
      </c>
    </row>
    <row r="60" spans="4:9" ht="12.75" customHeight="1">
      <c r="D60" s="34"/>
      <c r="E60" s="34"/>
      <c r="F60" s="34"/>
      <c r="G60" s="34"/>
      <c r="H60" s="34"/>
      <c r="I60" s="34"/>
    </row>
    <row r="63" spans="1:9" s="42" customFormat="1" ht="15.75">
      <c r="A63" s="56" t="s">
        <v>64</v>
      </c>
      <c r="B63" s="57"/>
      <c r="C63" s="57"/>
      <c r="D63" s="57"/>
      <c r="E63" s="57"/>
      <c r="F63" s="57"/>
      <c r="G63" s="57"/>
      <c r="H63" s="57"/>
      <c r="I63" s="57"/>
    </row>
    <row r="64" spans="1:9" ht="12.75" customHeight="1">
      <c r="A64" s="35"/>
      <c r="B64" s="34"/>
      <c r="C64" s="34"/>
      <c r="D64" s="34"/>
      <c r="E64" s="34"/>
      <c r="F64" s="34"/>
      <c r="G64" s="34"/>
      <c r="H64" s="34"/>
      <c r="I64" s="34"/>
    </row>
    <row r="65" spans="1:9" ht="12.75" customHeight="1">
      <c r="A65" s="35"/>
      <c r="B65" s="34"/>
      <c r="C65" s="34"/>
      <c r="D65" s="34"/>
      <c r="E65" s="34"/>
      <c r="F65" s="34"/>
      <c r="G65" s="34"/>
      <c r="H65" s="34"/>
      <c r="I65" s="34"/>
    </row>
    <row r="66" s="18" customFormat="1" ht="13.5" thickBot="1">
      <c r="A66" s="1" t="s">
        <v>38</v>
      </c>
    </row>
    <row r="67" spans="1:7" ht="33.75">
      <c r="A67" s="180" t="s">
        <v>31</v>
      </c>
      <c r="B67" s="181"/>
      <c r="C67" s="201"/>
      <c r="D67" s="83" t="s">
        <v>45</v>
      </c>
      <c r="E67" s="73" t="s">
        <v>17</v>
      </c>
      <c r="F67" s="84" t="s">
        <v>13</v>
      </c>
      <c r="G67" s="36"/>
    </row>
    <row r="68" spans="1:6" ht="12.75" customHeight="1">
      <c r="A68" s="105"/>
      <c r="B68" s="225" t="s">
        <v>18</v>
      </c>
      <c r="C68" s="226"/>
      <c r="D68" s="67">
        <f>IF(E68=0,0,SUMIF(xehet32!S:S,22,xehet32!Q:Q)/SUMIF(xehet32!S:S,22,xehet32!D:D))</f>
        <v>0</v>
      </c>
      <c r="E68" s="37">
        <f>COUNTIF(xehet32!S:S,22)</f>
        <v>0</v>
      </c>
      <c r="F68" s="85">
        <f>SUMIF(xehet32!S:S,22,xehet32!D:D)</f>
        <v>0</v>
      </c>
    </row>
    <row r="69" spans="1:6" ht="12.75" customHeight="1">
      <c r="A69" s="98"/>
      <c r="B69" s="208" t="s">
        <v>10</v>
      </c>
      <c r="C69" s="209"/>
      <c r="D69" s="67">
        <f>IF(E69=0,0,SUMIF(xehet32!S:S,26,xehet32!Q:Q)/SUMIF(xehet32!S:S,26,xehet32!D:D))</f>
        <v>0</v>
      </c>
      <c r="E69" s="37">
        <f>COUNTIF(xehet32!S:S,26)</f>
        <v>0</v>
      </c>
      <c r="F69" s="85">
        <f>SUMIF(xehet32!S:S,26,xehet32!D:D)</f>
        <v>0</v>
      </c>
    </row>
    <row r="70" spans="1:6" ht="12.75" customHeight="1">
      <c r="A70" s="104"/>
      <c r="B70" s="198" t="s">
        <v>20</v>
      </c>
      <c r="C70" s="210"/>
      <c r="D70" s="67">
        <f>IF(E70=0,0,SUMIF(xehet32!S:S,29,xehet32!Q:Q)/SUMIF(xehet32!S:S,29,xehet32!D:D))</f>
        <v>0</v>
      </c>
      <c r="E70" s="37">
        <f>COUNTIF(xehet32!S:S,29)</f>
        <v>0</v>
      </c>
      <c r="F70" s="85">
        <f>SUMIF(xehet32!S:S,29,xehet32!D:D)</f>
        <v>0</v>
      </c>
    </row>
    <row r="71" spans="1:6" ht="12.75" customHeight="1" thickBot="1">
      <c r="A71" s="227" t="s">
        <v>11</v>
      </c>
      <c r="B71" s="228"/>
      <c r="C71" s="229"/>
      <c r="D71" s="86">
        <f>IF(F71=0,0,(D68*F68+D69*F69+D70*F70)/F71)</f>
        <v>0</v>
      </c>
      <c r="E71" s="79">
        <f>SUM(E68:E70)</f>
        <v>0</v>
      </c>
      <c r="F71" s="87">
        <f>SUM(F68:F70)</f>
        <v>0</v>
      </c>
    </row>
    <row r="72" spans="4:6" ht="12.75" customHeight="1">
      <c r="D72" s="72">
        <f>IF(D73=0,0,(SUMIF(xehet32!N:N,"&gt;90",xehet32!Q:Q)/SUMIF(xehet32!N:N,"&gt;90",xehet32!D:D)))-IF(D71="",0,D71)</f>
        <v>0</v>
      </c>
      <c r="E72" s="72">
        <f>COUNTIF(xehet32!N:N,"&gt;90")-E71</f>
        <v>0</v>
      </c>
      <c r="F72" s="72">
        <f>SUMIF(xehet32!N:N,"&gt;90",xehet32!D:D)-F71</f>
        <v>0</v>
      </c>
    </row>
    <row r="73" spans="4:6" ht="12.75" customHeight="1">
      <c r="D73" s="113">
        <f>SUMIF(xehet32!N:N,"&gt;90",xehet32!D:D)</f>
        <v>0</v>
      </c>
      <c r="E73" s="34"/>
      <c r="F73" s="34"/>
    </row>
    <row r="74" s="18" customFormat="1" ht="13.5" thickBot="1">
      <c r="A74" s="1" t="s">
        <v>47</v>
      </c>
    </row>
    <row r="75" spans="1:7" ht="12.75" customHeight="1">
      <c r="A75" s="180" t="s">
        <v>48</v>
      </c>
      <c r="B75" s="181"/>
      <c r="C75" s="201"/>
      <c r="D75" s="203" t="s">
        <v>65</v>
      </c>
      <c r="E75" s="204"/>
      <c r="F75" s="204"/>
      <c r="G75" s="205"/>
    </row>
    <row r="76" spans="1:7" ht="12.75" customHeight="1">
      <c r="A76" s="183"/>
      <c r="B76" s="184"/>
      <c r="C76" s="202"/>
      <c r="D76" s="60" t="s">
        <v>58</v>
      </c>
      <c r="E76" s="22" t="s">
        <v>59</v>
      </c>
      <c r="F76" s="22" t="s">
        <v>13</v>
      </c>
      <c r="G76" s="74" t="s">
        <v>59</v>
      </c>
    </row>
    <row r="77" spans="1:7" ht="12.75" customHeight="1">
      <c r="A77" s="105"/>
      <c r="B77" s="225" t="s">
        <v>39</v>
      </c>
      <c r="C77" s="226"/>
      <c r="D77" s="39">
        <f>COUNTIF(xehet32!N:N,"&lt;=30")</f>
        <v>20</v>
      </c>
      <c r="E77" s="40">
        <f>IF($D$81=0,0,D77*100/$D$81)</f>
        <v>100</v>
      </c>
      <c r="F77" s="26">
        <f>SUMIF(xehet32!N:N,"&lt;=30",xehet32!D:D)</f>
        <v>16828.54</v>
      </c>
      <c r="G77" s="88">
        <f>IF($F$81=0,0,F77*100/$F$81)</f>
        <v>100</v>
      </c>
    </row>
    <row r="78" spans="1:7" ht="12.75" customHeight="1">
      <c r="A78" s="98"/>
      <c r="B78" s="208" t="s">
        <v>40</v>
      </c>
      <c r="C78" s="209"/>
      <c r="D78" s="39">
        <f>COUNTIF(xehet32!N:N,"&lt;=60")-D77</f>
        <v>0</v>
      </c>
      <c r="E78" s="40">
        <f>IF($D$81=0,0,D78*100/$D$81)</f>
        <v>0</v>
      </c>
      <c r="F78" s="26">
        <f>SUMIF(xehet32!N:N,"&lt;=60",xehet32!D:D)-F77</f>
        <v>0</v>
      </c>
      <c r="G78" s="88">
        <f>IF($F$81=0,0,F78*100/$F$81)</f>
        <v>0</v>
      </c>
    </row>
    <row r="79" spans="1:7" ht="12.75" customHeight="1">
      <c r="A79" s="98"/>
      <c r="B79" s="206" t="s">
        <v>41</v>
      </c>
      <c r="C79" s="207"/>
      <c r="D79" s="39">
        <f>COUNTIF(xehet32!N:N,"&lt;=90")-SUM(D77:D78)</f>
        <v>0</v>
      </c>
      <c r="E79" s="40">
        <f>IF($D$81=0,0,D79*100/$D$81)</f>
        <v>0</v>
      </c>
      <c r="F79" s="26">
        <f>SUMIF(xehet32!N:N,"&lt;=90",xehet32!D:D)-SUM(F77:F78)</f>
        <v>0</v>
      </c>
      <c r="G79" s="88">
        <f>IF($F$81=0,0,F79*100/$F$81)</f>
        <v>0</v>
      </c>
    </row>
    <row r="80" spans="1:7" ht="12.75" customHeight="1">
      <c r="A80" s="98"/>
      <c r="B80" s="206" t="s">
        <v>42</v>
      </c>
      <c r="C80" s="207"/>
      <c r="D80" s="39">
        <f>COUNTIF(xehet32!N:N,"&gt;90")</f>
        <v>0</v>
      </c>
      <c r="E80" s="40">
        <f>IF($D$81=0,0,D80*100/$D$81)</f>
        <v>0</v>
      </c>
      <c r="F80" s="26">
        <f>SUMIF(xehet32!N:N,"&gt;90",xehet32!D:D)</f>
        <v>0</v>
      </c>
      <c r="G80" s="88">
        <f>IF($F$81=0,0,F80*100/$F$81)</f>
        <v>0</v>
      </c>
    </row>
    <row r="81" spans="1:7" ht="12.75" customHeight="1" thickBot="1">
      <c r="A81" s="232" t="s">
        <v>11</v>
      </c>
      <c r="B81" s="233"/>
      <c r="C81" s="234"/>
      <c r="D81" s="77">
        <f>SUM(D77:D80)</f>
        <v>20</v>
      </c>
      <c r="E81" s="89">
        <f>SUM(E77:E80)</f>
        <v>100</v>
      </c>
      <c r="F81" s="78">
        <f>SUM(F77:F80)</f>
        <v>16828.54</v>
      </c>
      <c r="G81" s="90">
        <f>SUM(G77:G80)</f>
        <v>100</v>
      </c>
    </row>
    <row r="82" spans="1:7" ht="12.75" customHeight="1">
      <c r="A82" s="33"/>
      <c r="B82" s="33"/>
      <c r="C82" s="33"/>
      <c r="D82" s="72">
        <f>COUNT(xehet32!D:D)-D81</f>
        <v>0</v>
      </c>
      <c r="E82" s="72"/>
      <c r="F82" s="72">
        <f>SUM(xehet32!D:D)-F81</f>
        <v>0</v>
      </c>
      <c r="G82" s="34"/>
    </row>
    <row r="83" spans="1:7" ht="12.75" customHeight="1">
      <c r="A83" s="33"/>
      <c r="B83" s="33"/>
      <c r="C83" s="33"/>
      <c r="D83" s="72">
        <f>E71-D80</f>
        <v>0</v>
      </c>
      <c r="E83" s="72"/>
      <c r="F83" s="72">
        <f>F71-F80</f>
        <v>0</v>
      </c>
      <c r="G83" s="34"/>
    </row>
    <row r="84" spans="1:7" ht="12.75" customHeight="1">
      <c r="A84" s="33"/>
      <c r="B84" s="33"/>
      <c r="C84" s="33"/>
      <c r="D84" s="19"/>
      <c r="E84" s="19"/>
      <c r="F84" s="34"/>
      <c r="G84" s="34"/>
    </row>
    <row r="85" spans="1:5" s="42" customFormat="1" ht="15.75">
      <c r="A85" s="56" t="s">
        <v>49</v>
      </c>
      <c r="B85" s="58"/>
      <c r="C85" s="58"/>
      <c r="D85" s="59"/>
      <c r="E85" s="59"/>
    </row>
    <row r="86" spans="1:5" ht="12.75" customHeight="1">
      <c r="A86" s="35"/>
      <c r="B86" s="33"/>
      <c r="C86" s="33"/>
      <c r="D86" s="19"/>
      <c r="E86" s="19"/>
    </row>
    <row r="87" ht="12.75" customHeight="1" thickBot="1"/>
    <row r="88" spans="1:8" ht="12.75" customHeight="1">
      <c r="A88" s="235" t="s">
        <v>51</v>
      </c>
      <c r="B88" s="236"/>
      <c r="C88" s="237"/>
      <c r="D88" s="246" t="s">
        <v>53</v>
      </c>
      <c r="E88" s="247"/>
      <c r="F88" s="246" t="s">
        <v>54</v>
      </c>
      <c r="G88" s="247"/>
      <c r="H88" s="241" t="s">
        <v>50</v>
      </c>
    </row>
    <row r="89" spans="1:8" ht="12.75" customHeight="1">
      <c r="A89" s="238"/>
      <c r="B89" s="239"/>
      <c r="C89" s="240"/>
      <c r="D89" s="68" t="s">
        <v>52</v>
      </c>
      <c r="E89" s="69" t="s">
        <v>44</v>
      </c>
      <c r="F89" s="68" t="s">
        <v>52</v>
      </c>
      <c r="G89" s="69" t="s">
        <v>44</v>
      </c>
      <c r="H89" s="242"/>
    </row>
    <row r="90" spans="1:8" ht="12.75" customHeight="1" thickBot="1">
      <c r="A90" s="243" t="str">
        <f>D3</f>
        <v>OARSOALDEA</v>
      </c>
      <c r="B90" s="244"/>
      <c r="C90" s="245"/>
      <c r="D90" s="91">
        <f>IF((SUM(xehet1!D:D)+G24+I24)=0,0,(SUM(xehet1!U:U)+D24*(G24+I24))/(SUM(xehet1!D:D)+G24+I24))</f>
        <v>-25.59935180188507</v>
      </c>
      <c r="E90" s="92">
        <f>SUM(xehet1!D:D)+G24+I24</f>
        <v>158994.60000000012</v>
      </c>
      <c r="F90" s="91">
        <f>IF((SUM(xehet2!D:D)+SUM(xehet32!D:D)+G56+I56)=0,0,(SUM(xehet2!U:U)+SUM(xehet32!R:R)+D56*(G56+I56))/(SUM(xehet2!D:D)+SUM(xehet32!D:D)+G56+I56))</f>
        <v>-42.626500575807526</v>
      </c>
      <c r="G90" s="92">
        <f>SUM(xehet2!D:D)+SUM(xehet32!D:D)+G56+I56</f>
        <v>16828.54</v>
      </c>
      <c r="H90" s="93">
        <f>IF(E90=0,F90,IF(G90=0,D90,(D90*E90+F90*G90)/(E90+G90)))</f>
        <v>-27.229069336379702</v>
      </c>
    </row>
    <row r="91" spans="4:8" ht="12.75" customHeight="1">
      <c r="D91" s="31"/>
      <c r="E91" s="72">
        <f>E90-F38</f>
        <v>-65.64999999999418</v>
      </c>
      <c r="F91" s="72"/>
      <c r="G91" s="72">
        <f>G90-G58-I58-F81</f>
        <v>0</v>
      </c>
      <c r="H91" s="72">
        <f>IF(H92=0,0,(SUM(xehet1!U:U)+SUM(xehet2!U:U)+SUM(xehet32!R:R)+D24*(G24+I24)+D56*(G56+I56))/(SUM(xehet1!D:D)+SUM(xehet2!D:D)+SUM(xehet32!D:D)+G24+I24+G56+I56))-IF(H90="",0,H90)</f>
        <v>0</v>
      </c>
    </row>
    <row r="92" spans="1:8" ht="12.75" customHeight="1" thickBot="1">
      <c r="A92" s="4" t="s">
        <v>55</v>
      </c>
      <c r="E92" s="34"/>
      <c r="F92" s="34"/>
      <c r="G92" s="34"/>
      <c r="H92" s="114">
        <f>(SUM(xehet1!D:D)+SUM(xehet2!D:D)+SUM(xehet32!D:D)+G24+I24+G56+I56)</f>
        <v>175823.14000000013</v>
      </c>
    </row>
    <row r="93" spans="2:8" ht="43.5" customHeight="1" thickBot="1">
      <c r="B93" s="230"/>
      <c r="C93" s="231"/>
      <c r="E93" s="34"/>
      <c r="F93" s="34"/>
      <c r="G93" s="34"/>
      <c r="H93" s="34"/>
    </row>
  </sheetData>
  <sheetProtection/>
  <mergeCells count="50">
    <mergeCell ref="D75:G75"/>
    <mergeCell ref="B93:C93"/>
    <mergeCell ref="A81:C81"/>
    <mergeCell ref="A88:C89"/>
    <mergeCell ref="H88:H89"/>
    <mergeCell ref="A90:C90"/>
    <mergeCell ref="D88:E88"/>
    <mergeCell ref="F88:G88"/>
    <mergeCell ref="B77:C77"/>
    <mergeCell ref="B78:C78"/>
    <mergeCell ref="B79:C79"/>
    <mergeCell ref="B80:C80"/>
    <mergeCell ref="A58:C58"/>
    <mergeCell ref="A67:C67"/>
    <mergeCell ref="B68:C68"/>
    <mergeCell ref="B69:C69"/>
    <mergeCell ref="B70:C70"/>
    <mergeCell ref="A71:C71"/>
    <mergeCell ref="A75:C76"/>
    <mergeCell ref="A45:C47"/>
    <mergeCell ref="D45:E45"/>
    <mergeCell ref="A48:C48"/>
    <mergeCell ref="A54:C54"/>
    <mergeCell ref="A56:C56"/>
    <mergeCell ref="B57:C57"/>
    <mergeCell ref="F45:I45"/>
    <mergeCell ref="D46:E46"/>
    <mergeCell ref="F46:G46"/>
    <mergeCell ref="H46:I46"/>
    <mergeCell ref="D31:G31"/>
    <mergeCell ref="B33:C33"/>
    <mergeCell ref="B34:C34"/>
    <mergeCell ref="B36:C36"/>
    <mergeCell ref="B37:C37"/>
    <mergeCell ref="A38:C38"/>
    <mergeCell ref="A16:C16"/>
    <mergeCell ref="A22:C22"/>
    <mergeCell ref="A24:C24"/>
    <mergeCell ref="B25:C25"/>
    <mergeCell ref="A26:C26"/>
    <mergeCell ref="A31:C32"/>
    <mergeCell ref="A1:B1"/>
    <mergeCell ref="A2:I2"/>
    <mergeCell ref="D3:G3"/>
    <mergeCell ref="A13:C15"/>
    <mergeCell ref="D13:E13"/>
    <mergeCell ref="F13:I13"/>
    <mergeCell ref="D14:E14"/>
    <mergeCell ref="F14:G14"/>
    <mergeCell ref="H14:I14"/>
  </mergeCells>
  <conditionalFormatting sqref="H90">
    <cfRule type="expression" priority="1" dxfId="0" stopIfTrue="1">
      <formula>$E$90+$G$90=0</formula>
    </cfRule>
  </conditionalFormatting>
  <conditionalFormatting sqref="G77:G80">
    <cfRule type="expression" priority="2" dxfId="0" stopIfTrue="1">
      <formula>F$81=0</formula>
    </cfRule>
  </conditionalFormatting>
  <conditionalFormatting sqref="D17:D21 D23 D49:D53 D55 D68:D70">
    <cfRule type="expression" priority="3" dxfId="0" stopIfTrue="1">
      <formula>F17+H17=0</formula>
    </cfRule>
  </conditionalFormatting>
  <conditionalFormatting sqref="E17:E21 E23 E49:E53 E55">
    <cfRule type="expression" priority="4" dxfId="0" stopIfTrue="1">
      <formula>H17=0</formula>
    </cfRule>
  </conditionalFormatting>
  <conditionalFormatting sqref="D56 D22 D24 D48 D54">
    <cfRule type="expression" priority="5" dxfId="3" stopIfTrue="1">
      <formula>F22+H22=0</formula>
    </cfRule>
  </conditionalFormatting>
  <conditionalFormatting sqref="E16 E22 E24 E48 E54 E56">
    <cfRule type="expression" priority="6" dxfId="3" stopIfTrue="1">
      <formula>H16=0</formula>
    </cfRule>
  </conditionalFormatting>
  <conditionalFormatting sqref="E77:E80">
    <cfRule type="expression" priority="7" dxfId="0" stopIfTrue="1">
      <formula>$D$81=0</formula>
    </cfRule>
  </conditionalFormatting>
  <conditionalFormatting sqref="E38">
    <cfRule type="expression" priority="8" dxfId="3" stopIfTrue="1">
      <formula>$D$38=0</formula>
    </cfRule>
  </conditionalFormatting>
  <conditionalFormatting sqref="G38">
    <cfRule type="expression" priority="9" dxfId="3" stopIfTrue="1">
      <formula>$F$38=0</formula>
    </cfRule>
  </conditionalFormatting>
  <conditionalFormatting sqref="A1:B1 E91:H91 D39:F40 D59:I59 D72:F72 D82:F83 H27:I27 E27:F27">
    <cfRule type="cellIs" priority="10" dxfId="0" operator="equal" stopIfTrue="1">
      <formula>0</formula>
    </cfRule>
  </conditionalFormatting>
  <conditionalFormatting sqref="D16">
    <cfRule type="expression" priority="11" dxfId="3" stopIfTrue="1">
      <formula>F16+H16=0</formula>
    </cfRule>
  </conditionalFormatting>
  <conditionalFormatting sqref="D26:E26 D58:E58">
    <cfRule type="cellIs" priority="12" dxfId="3" operator="equal" stopIfTrue="1">
      <formula>0</formula>
    </cfRule>
  </conditionalFormatting>
  <conditionalFormatting sqref="D27">
    <cfRule type="cellIs" priority="13" dxfId="0" operator="equal" stopIfTrue="1">
      <formula>0</formula>
    </cfRule>
    <cfRule type="expression" priority="14" dxfId="0" stopIfTrue="1">
      <formula>"SUMA(xehet1!D:D)=0"</formula>
    </cfRule>
  </conditionalFormatting>
  <conditionalFormatting sqref="G27">
    <cfRule type="cellIs" priority="15" dxfId="0" operator="between" stopIfTrue="1">
      <formula>-0.00001</formula>
      <formula>0.00001</formula>
    </cfRule>
  </conditionalFormatting>
  <printOptions horizontalCentered="1"/>
  <pageMargins left="0.6299212598425197" right="0.6692913385826772" top="0.5905511811023623" bottom="0.5905511811023623" header="0.31496062992125984" footer="0.11811023622047245"/>
  <pageSetup horizontalDpi="600" verticalDpi="600" orientation="portrait" paperSize="9" scale="60" r:id="rId1"/>
  <ignoredErrors>
    <ignoredError sqref="E38 G38" evalError="1"/>
    <ignoredError sqref="F23:I23 D55:E55 F55:I5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Orria2">
    <tabColor indexed="47"/>
  </sheetPr>
  <dimension ref="A2:V152"/>
  <sheetViews>
    <sheetView zoomScalePageLayoutView="0" workbookViewId="0" topLeftCell="A1">
      <selection activeCell="D37" sqref="D37"/>
    </sheetView>
  </sheetViews>
  <sheetFormatPr defaultColWidth="9.140625" defaultRowHeight="12.75"/>
  <cols>
    <col min="1" max="1" width="13.7109375" style="2" customWidth="1"/>
    <col min="2" max="2" width="12.7109375" style="14" customWidth="1"/>
    <col min="3" max="3" width="25.28125" style="128" customWidth="1"/>
    <col min="4" max="4" width="12.57421875" style="8" customWidth="1"/>
    <col min="5" max="5" width="7.421875" style="2" bestFit="1" customWidth="1"/>
    <col min="6" max="6" width="11.28125" style="2" customWidth="1"/>
    <col min="7" max="7" width="14.28125" style="2" customWidth="1"/>
    <col min="8" max="8" width="7.421875" style="2" customWidth="1"/>
    <col min="9" max="9" width="7.00390625" style="2" customWidth="1"/>
    <col min="10" max="10" width="17.00390625" style="2" bestFit="1" customWidth="1"/>
    <col min="11" max="11" width="11.421875" style="14" bestFit="1" customWidth="1"/>
    <col min="12" max="12" width="9.00390625" style="14" bestFit="1" customWidth="1"/>
    <col min="13" max="14" width="10.140625" style="14" bestFit="1" customWidth="1"/>
    <col min="15" max="15" width="8.57421875" style="152" bestFit="1" customWidth="1"/>
    <col min="16" max="17" width="8.57421875" style="152" customWidth="1"/>
    <col min="18" max="18" width="6.7109375" style="9" customWidth="1"/>
    <col min="19" max="19" width="8.421875" style="2" customWidth="1"/>
    <col min="20" max="20" width="13.00390625" style="8" bestFit="1" customWidth="1"/>
    <col min="21" max="21" width="14.57421875" style="8" bestFit="1" customWidth="1"/>
    <col min="22" max="22" width="9.140625" style="134" customWidth="1"/>
    <col min="23" max="16384" width="9.140625" style="2" customWidth="1"/>
  </cols>
  <sheetData>
    <row r="2" spans="4:7" ht="11.25">
      <c r="D2" s="126" t="s">
        <v>100</v>
      </c>
      <c r="G2" s="131"/>
    </row>
    <row r="3" spans="1:19" ht="11.25">
      <c r="A3" s="3" t="s">
        <v>69</v>
      </c>
      <c r="B3" s="16"/>
      <c r="C3" s="129"/>
      <c r="D3" s="127" t="s">
        <v>101</v>
      </c>
      <c r="E3" s="4"/>
      <c r="F3" s="4"/>
      <c r="G3" s="4"/>
      <c r="H3" s="4"/>
      <c r="I3" s="4"/>
      <c r="J3" s="4"/>
      <c r="R3" s="9" t="s">
        <v>376</v>
      </c>
      <c r="S3" s="151">
        <v>42277</v>
      </c>
    </row>
    <row r="4" spans="13:14" ht="11.25">
      <c r="M4" s="14" t="s">
        <v>103</v>
      </c>
      <c r="N4" s="14" t="s">
        <v>104</v>
      </c>
    </row>
    <row r="5" spans="1:22" ht="22.5">
      <c r="A5" s="5" t="s">
        <v>75</v>
      </c>
      <c r="B5" s="17" t="s">
        <v>70</v>
      </c>
      <c r="C5" s="130" t="s">
        <v>84</v>
      </c>
      <c r="D5" s="116" t="s">
        <v>44</v>
      </c>
      <c r="E5" s="5" t="s">
        <v>83</v>
      </c>
      <c r="F5" s="125" t="s">
        <v>71</v>
      </c>
      <c r="G5" s="125" t="s">
        <v>72</v>
      </c>
      <c r="H5" s="6" t="s">
        <v>81</v>
      </c>
      <c r="I5" s="6" t="s">
        <v>82</v>
      </c>
      <c r="J5" s="6" t="s">
        <v>73</v>
      </c>
      <c r="K5" s="117" t="s">
        <v>74</v>
      </c>
      <c r="L5" s="15" t="s">
        <v>76</v>
      </c>
      <c r="M5" s="117" t="s">
        <v>90</v>
      </c>
      <c r="N5" s="117" t="s">
        <v>91</v>
      </c>
      <c r="O5" s="158" t="s">
        <v>378</v>
      </c>
      <c r="P5" s="157" t="s">
        <v>379</v>
      </c>
      <c r="Q5" s="156" t="s">
        <v>380</v>
      </c>
      <c r="R5" s="13" t="s">
        <v>50</v>
      </c>
      <c r="S5" s="132" t="s">
        <v>92</v>
      </c>
      <c r="T5" s="8" t="s">
        <v>93</v>
      </c>
      <c r="U5" s="8" t="s">
        <v>94</v>
      </c>
      <c r="V5" s="134" t="s">
        <v>95</v>
      </c>
    </row>
    <row r="6" spans="1:22" s="18" customFormat="1" ht="12.75">
      <c r="A6" s="143" t="s">
        <v>105</v>
      </c>
      <c r="B6" s="166">
        <v>42195</v>
      </c>
      <c r="C6" s="143" t="s">
        <v>106</v>
      </c>
      <c r="D6" s="169">
        <v>3960</v>
      </c>
      <c r="E6" s="147"/>
      <c r="F6" s="148"/>
      <c r="K6" s="144">
        <v>42195</v>
      </c>
      <c r="L6" s="144"/>
      <c r="M6" s="166">
        <f>+N6</f>
        <v>42200</v>
      </c>
      <c r="N6" s="166">
        <v>42200</v>
      </c>
      <c r="O6" s="153">
        <f>+M6-K6</f>
        <v>5</v>
      </c>
      <c r="P6" s="153">
        <f>+N6-M6</f>
        <v>0</v>
      </c>
      <c r="Q6" s="153">
        <f>+N6-K6</f>
        <v>5</v>
      </c>
      <c r="R6" s="149">
        <f>+Q6-30</f>
        <v>-25</v>
      </c>
      <c r="S6" s="150">
        <v>29</v>
      </c>
      <c r="T6" s="146">
        <f>+P6*D6</f>
        <v>0</v>
      </c>
      <c r="U6" s="146">
        <f>+R6*D6</f>
        <v>-99000</v>
      </c>
      <c r="V6" s="150">
        <f>IF(P6&gt;30,200+S6,100+S6)</f>
        <v>129</v>
      </c>
    </row>
    <row r="7" spans="1:22" s="18" customFormat="1" ht="12.75">
      <c r="A7" s="143" t="s">
        <v>107</v>
      </c>
      <c r="B7" s="166">
        <v>42213</v>
      </c>
      <c r="C7" s="143" t="s">
        <v>106</v>
      </c>
      <c r="D7" s="169">
        <v>3420</v>
      </c>
      <c r="E7" s="147"/>
      <c r="F7" s="148"/>
      <c r="K7" s="144">
        <v>42213</v>
      </c>
      <c r="L7" s="144"/>
      <c r="M7" s="166">
        <f>+N7</f>
        <v>42213</v>
      </c>
      <c r="N7" s="166">
        <v>42213</v>
      </c>
      <c r="O7" s="153">
        <f aca="true" t="shared" si="0" ref="O7:O25">+M7-K7</f>
        <v>0</v>
      </c>
      <c r="P7" s="153">
        <f>+N7-M7</f>
        <v>0</v>
      </c>
      <c r="Q7" s="153">
        <f>+N7-K7</f>
        <v>0</v>
      </c>
      <c r="R7" s="149">
        <f>+Q7-30</f>
        <v>-30</v>
      </c>
      <c r="S7" s="150">
        <v>29</v>
      </c>
      <c r="T7" s="146">
        <f>+P7*D7</f>
        <v>0</v>
      </c>
      <c r="U7" s="146">
        <f>+R7*D7</f>
        <v>-102600</v>
      </c>
      <c r="V7" s="150">
        <f aca="true" t="shared" si="1" ref="V7:V70">IF(P7&gt;30,200+S7,100+S7)</f>
        <v>129</v>
      </c>
    </row>
    <row r="8" spans="1:22" s="18" customFormat="1" ht="12.75">
      <c r="A8" s="143" t="s">
        <v>108</v>
      </c>
      <c r="B8" s="166">
        <v>42186</v>
      </c>
      <c r="C8" s="143" t="s">
        <v>109</v>
      </c>
      <c r="D8" s="169">
        <v>472.41</v>
      </c>
      <c r="E8" s="147"/>
      <c r="F8" s="148"/>
      <c r="K8" s="144">
        <v>42195</v>
      </c>
      <c r="L8" s="144"/>
      <c r="M8" s="166">
        <f aca="true" t="shared" si="2" ref="M8:M69">+N8</f>
        <v>42195</v>
      </c>
      <c r="N8" s="166">
        <v>42195</v>
      </c>
      <c r="O8" s="153">
        <f t="shared" si="0"/>
        <v>0</v>
      </c>
      <c r="P8" s="153">
        <f aca="true" t="shared" si="3" ref="P8:P71">+N8-M8</f>
        <v>0</v>
      </c>
      <c r="Q8" s="153">
        <f aca="true" t="shared" si="4" ref="Q8:Q25">+N8-K8</f>
        <v>0</v>
      </c>
      <c r="R8" s="149">
        <f aca="true" t="shared" si="5" ref="R8:R25">+Q8-30</f>
        <v>-30</v>
      </c>
      <c r="S8" s="150">
        <v>29</v>
      </c>
      <c r="T8" s="146">
        <f aca="true" t="shared" si="6" ref="T8:T71">+P8*D8</f>
        <v>0</v>
      </c>
      <c r="U8" s="146">
        <f aca="true" t="shared" si="7" ref="U8:U71">+R8*D8</f>
        <v>-14172.300000000001</v>
      </c>
      <c r="V8" s="150">
        <f t="shared" si="1"/>
        <v>129</v>
      </c>
    </row>
    <row r="9" spans="1:22" s="18" customFormat="1" ht="12.75">
      <c r="A9" s="143" t="s">
        <v>110</v>
      </c>
      <c r="B9" s="166">
        <v>42186</v>
      </c>
      <c r="C9" s="143" t="s">
        <v>111</v>
      </c>
      <c r="D9" s="169">
        <v>489.96</v>
      </c>
      <c r="E9" s="147"/>
      <c r="F9" s="148"/>
      <c r="K9" s="144">
        <v>42195</v>
      </c>
      <c r="L9" s="144"/>
      <c r="M9" s="166">
        <f t="shared" si="2"/>
        <v>42195</v>
      </c>
      <c r="N9" s="166">
        <v>42195</v>
      </c>
      <c r="O9" s="153">
        <f t="shared" si="0"/>
        <v>0</v>
      </c>
      <c r="P9" s="153">
        <f t="shared" si="3"/>
        <v>0</v>
      </c>
      <c r="Q9" s="153">
        <f t="shared" si="4"/>
        <v>0</v>
      </c>
      <c r="R9" s="149">
        <f t="shared" si="5"/>
        <v>-30</v>
      </c>
      <c r="S9" s="150">
        <v>29</v>
      </c>
      <c r="T9" s="146">
        <f t="shared" si="6"/>
        <v>0</v>
      </c>
      <c r="U9" s="146">
        <f t="shared" si="7"/>
        <v>-14698.8</v>
      </c>
      <c r="V9" s="150">
        <f t="shared" si="1"/>
        <v>129</v>
      </c>
    </row>
    <row r="10" spans="1:22" s="18" customFormat="1" ht="12.75">
      <c r="A10" s="143" t="s">
        <v>112</v>
      </c>
      <c r="B10" s="166">
        <v>42186</v>
      </c>
      <c r="C10" s="143" t="s">
        <v>113</v>
      </c>
      <c r="D10" s="169">
        <v>756.25</v>
      </c>
      <c r="E10" s="147"/>
      <c r="F10" s="148"/>
      <c r="K10" s="144">
        <v>42195</v>
      </c>
      <c r="L10" s="144"/>
      <c r="M10" s="166">
        <f t="shared" si="2"/>
        <v>42200</v>
      </c>
      <c r="N10" s="166">
        <v>42200</v>
      </c>
      <c r="O10" s="153">
        <f t="shared" si="0"/>
        <v>5</v>
      </c>
      <c r="P10" s="153">
        <f t="shared" si="3"/>
        <v>0</v>
      </c>
      <c r="Q10" s="153">
        <f t="shared" si="4"/>
        <v>5</v>
      </c>
      <c r="R10" s="149">
        <f t="shared" si="5"/>
        <v>-25</v>
      </c>
      <c r="S10" s="150">
        <v>21</v>
      </c>
      <c r="T10" s="146">
        <f t="shared" si="6"/>
        <v>0</v>
      </c>
      <c r="U10" s="146">
        <f t="shared" si="7"/>
        <v>-18906.25</v>
      </c>
      <c r="V10" s="150">
        <f t="shared" si="1"/>
        <v>121</v>
      </c>
    </row>
    <row r="11" spans="1:22" s="150" customFormat="1" ht="12.75">
      <c r="A11" s="143" t="s">
        <v>114</v>
      </c>
      <c r="B11" s="163">
        <v>42189</v>
      </c>
      <c r="C11" s="164" t="s">
        <v>115</v>
      </c>
      <c r="D11" s="165">
        <v>145.87</v>
      </c>
      <c r="K11" s="159">
        <v>42195</v>
      </c>
      <c r="L11" s="159"/>
      <c r="M11" s="166">
        <f t="shared" si="2"/>
        <v>42193</v>
      </c>
      <c r="N11" s="159">
        <v>42193</v>
      </c>
      <c r="O11" s="153">
        <f t="shared" si="0"/>
        <v>-2</v>
      </c>
      <c r="P11" s="153">
        <f t="shared" si="3"/>
        <v>0</v>
      </c>
      <c r="Q11" s="153">
        <f t="shared" si="4"/>
        <v>-2</v>
      </c>
      <c r="R11" s="149">
        <f t="shared" si="5"/>
        <v>-32</v>
      </c>
      <c r="S11" s="150">
        <v>29</v>
      </c>
      <c r="T11" s="146">
        <f t="shared" si="6"/>
        <v>0</v>
      </c>
      <c r="U11" s="146">
        <f t="shared" si="7"/>
        <v>-4667.84</v>
      </c>
      <c r="V11" s="150">
        <f t="shared" si="1"/>
        <v>129</v>
      </c>
    </row>
    <row r="12" spans="1:22" s="150" customFormat="1" ht="12.75">
      <c r="A12" s="143" t="s">
        <v>116</v>
      </c>
      <c r="B12" s="163">
        <v>42189</v>
      </c>
      <c r="C12" s="164" t="s">
        <v>117</v>
      </c>
      <c r="D12" s="165">
        <v>546.94</v>
      </c>
      <c r="K12" s="159">
        <v>42195</v>
      </c>
      <c r="L12" s="159"/>
      <c r="M12" s="166">
        <f t="shared" si="2"/>
        <v>42193</v>
      </c>
      <c r="N12" s="159">
        <v>42193</v>
      </c>
      <c r="O12" s="153">
        <f t="shared" si="0"/>
        <v>-2</v>
      </c>
      <c r="P12" s="153">
        <f t="shared" si="3"/>
        <v>0</v>
      </c>
      <c r="Q12" s="153">
        <f t="shared" si="4"/>
        <v>-2</v>
      </c>
      <c r="R12" s="149">
        <f t="shared" si="5"/>
        <v>-32</v>
      </c>
      <c r="S12" s="150">
        <v>29</v>
      </c>
      <c r="T12" s="146">
        <f t="shared" si="6"/>
        <v>0</v>
      </c>
      <c r="U12" s="146">
        <f t="shared" si="7"/>
        <v>-17502.08</v>
      </c>
      <c r="V12" s="150">
        <f t="shared" si="1"/>
        <v>129</v>
      </c>
    </row>
    <row r="13" spans="1:22" s="18" customFormat="1" ht="12.75">
      <c r="A13" s="143" t="s">
        <v>118</v>
      </c>
      <c r="B13" s="144">
        <v>42189</v>
      </c>
      <c r="C13" s="145" t="s">
        <v>119</v>
      </c>
      <c r="D13" s="146">
        <v>1005.25</v>
      </c>
      <c r="E13" s="147"/>
      <c r="F13" s="148"/>
      <c r="K13" s="144">
        <v>42195</v>
      </c>
      <c r="L13" s="144"/>
      <c r="M13" s="166">
        <f t="shared" si="2"/>
        <v>42193</v>
      </c>
      <c r="N13" s="144">
        <v>42193</v>
      </c>
      <c r="O13" s="153">
        <f t="shared" si="0"/>
        <v>-2</v>
      </c>
      <c r="P13" s="153">
        <f t="shared" si="3"/>
        <v>0</v>
      </c>
      <c r="Q13" s="153">
        <f t="shared" si="4"/>
        <v>-2</v>
      </c>
      <c r="R13" s="149">
        <f t="shared" si="5"/>
        <v>-32</v>
      </c>
      <c r="S13" s="150">
        <v>29</v>
      </c>
      <c r="T13" s="146">
        <f t="shared" si="6"/>
        <v>0</v>
      </c>
      <c r="U13" s="146">
        <f t="shared" si="7"/>
        <v>-32168</v>
      </c>
      <c r="V13" s="150">
        <f t="shared" si="1"/>
        <v>129</v>
      </c>
    </row>
    <row r="14" spans="1:22" s="18" customFormat="1" ht="12.75">
      <c r="A14" s="143" t="s">
        <v>120</v>
      </c>
      <c r="B14" s="144">
        <v>42189</v>
      </c>
      <c r="C14" s="145" t="s">
        <v>121</v>
      </c>
      <c r="D14" s="146">
        <v>72.65</v>
      </c>
      <c r="E14" s="147"/>
      <c r="F14" s="148"/>
      <c r="K14" s="144">
        <v>42195</v>
      </c>
      <c r="L14" s="144"/>
      <c r="M14" s="166">
        <f t="shared" si="2"/>
        <v>42193</v>
      </c>
      <c r="N14" s="144">
        <v>42193</v>
      </c>
      <c r="O14" s="153">
        <f t="shared" si="0"/>
        <v>-2</v>
      </c>
      <c r="P14" s="153">
        <f t="shared" si="3"/>
        <v>0</v>
      </c>
      <c r="Q14" s="153">
        <f t="shared" si="4"/>
        <v>-2</v>
      </c>
      <c r="R14" s="149">
        <f t="shared" si="5"/>
        <v>-32</v>
      </c>
      <c r="S14" s="150">
        <v>29</v>
      </c>
      <c r="T14" s="146">
        <f t="shared" si="6"/>
        <v>0</v>
      </c>
      <c r="U14" s="146">
        <f t="shared" si="7"/>
        <v>-2324.8</v>
      </c>
      <c r="V14" s="150">
        <f t="shared" si="1"/>
        <v>129</v>
      </c>
    </row>
    <row r="15" spans="1:22" s="18" customFormat="1" ht="12.75">
      <c r="A15" s="143" t="s">
        <v>122</v>
      </c>
      <c r="B15" s="144">
        <v>42189</v>
      </c>
      <c r="C15" s="145" t="s">
        <v>123</v>
      </c>
      <c r="D15" s="146">
        <v>75.07</v>
      </c>
      <c r="E15" s="147"/>
      <c r="F15" s="148"/>
      <c r="K15" s="144">
        <v>42195</v>
      </c>
      <c r="L15" s="144"/>
      <c r="M15" s="166">
        <f t="shared" si="2"/>
        <v>42193</v>
      </c>
      <c r="N15" s="144">
        <v>42193</v>
      </c>
      <c r="O15" s="153">
        <f t="shared" si="0"/>
        <v>-2</v>
      </c>
      <c r="P15" s="153">
        <f t="shared" si="3"/>
        <v>0</v>
      </c>
      <c r="Q15" s="153">
        <f t="shared" si="4"/>
        <v>-2</v>
      </c>
      <c r="R15" s="149">
        <f t="shared" si="5"/>
        <v>-32</v>
      </c>
      <c r="S15" s="150">
        <v>29</v>
      </c>
      <c r="T15" s="146">
        <f t="shared" si="6"/>
        <v>0</v>
      </c>
      <c r="U15" s="146">
        <f t="shared" si="7"/>
        <v>-2402.24</v>
      </c>
      <c r="V15" s="150">
        <f t="shared" si="1"/>
        <v>129</v>
      </c>
    </row>
    <row r="16" spans="1:22" s="18" customFormat="1" ht="12.75">
      <c r="A16" s="143" t="s">
        <v>124</v>
      </c>
      <c r="B16" s="144">
        <v>42186</v>
      </c>
      <c r="C16" s="145" t="s">
        <v>125</v>
      </c>
      <c r="D16" s="146">
        <v>50.22</v>
      </c>
      <c r="E16" s="147"/>
      <c r="F16" s="148"/>
      <c r="K16" s="144">
        <v>42195</v>
      </c>
      <c r="L16" s="144"/>
      <c r="M16" s="166">
        <f t="shared" si="2"/>
        <v>42186</v>
      </c>
      <c r="N16" s="144">
        <v>42186</v>
      </c>
      <c r="O16" s="153">
        <f t="shared" si="0"/>
        <v>-9</v>
      </c>
      <c r="P16" s="153">
        <f t="shared" si="3"/>
        <v>0</v>
      </c>
      <c r="Q16" s="153">
        <f t="shared" si="4"/>
        <v>-9</v>
      </c>
      <c r="R16" s="149">
        <f t="shared" si="5"/>
        <v>-39</v>
      </c>
      <c r="S16" s="150">
        <v>21</v>
      </c>
      <c r="T16" s="146">
        <f t="shared" si="6"/>
        <v>0</v>
      </c>
      <c r="U16" s="146">
        <f t="shared" si="7"/>
        <v>-1958.58</v>
      </c>
      <c r="V16" s="150">
        <f t="shared" si="1"/>
        <v>121</v>
      </c>
    </row>
    <row r="17" spans="1:22" s="18" customFormat="1" ht="12.75">
      <c r="A17" s="143" t="s">
        <v>126</v>
      </c>
      <c r="B17" s="144">
        <v>42186</v>
      </c>
      <c r="C17" s="145" t="s">
        <v>127</v>
      </c>
      <c r="D17" s="146">
        <v>30</v>
      </c>
      <c r="E17" s="147"/>
      <c r="F17" s="148"/>
      <c r="K17" s="144">
        <v>42195</v>
      </c>
      <c r="L17" s="144"/>
      <c r="M17" s="166">
        <f t="shared" si="2"/>
        <v>42185</v>
      </c>
      <c r="N17" s="144">
        <v>42185</v>
      </c>
      <c r="O17" s="153">
        <f t="shared" si="0"/>
        <v>-10</v>
      </c>
      <c r="P17" s="153">
        <f t="shared" si="3"/>
        <v>0</v>
      </c>
      <c r="Q17" s="153">
        <f t="shared" si="4"/>
        <v>-10</v>
      </c>
      <c r="R17" s="149">
        <f t="shared" si="5"/>
        <v>-40</v>
      </c>
      <c r="S17" s="150">
        <v>29</v>
      </c>
      <c r="T17" s="146">
        <f t="shared" si="6"/>
        <v>0</v>
      </c>
      <c r="U17" s="146">
        <f t="shared" si="7"/>
        <v>-1200</v>
      </c>
      <c r="V17" s="150">
        <f t="shared" si="1"/>
        <v>129</v>
      </c>
    </row>
    <row r="18" spans="1:22" s="18" customFormat="1" ht="12.75">
      <c r="A18" s="143" t="s">
        <v>128</v>
      </c>
      <c r="B18" s="144">
        <v>42186</v>
      </c>
      <c r="C18" s="145" t="s">
        <v>129</v>
      </c>
      <c r="D18" s="146">
        <v>474.88</v>
      </c>
      <c r="E18" s="147"/>
      <c r="F18" s="148"/>
      <c r="K18" s="144">
        <v>42195</v>
      </c>
      <c r="L18" s="144"/>
      <c r="M18" s="166">
        <f t="shared" si="2"/>
        <v>42186</v>
      </c>
      <c r="N18" s="144">
        <v>42186</v>
      </c>
      <c r="O18" s="153">
        <f t="shared" si="0"/>
        <v>-9</v>
      </c>
      <c r="P18" s="153">
        <f t="shared" si="3"/>
        <v>0</v>
      </c>
      <c r="Q18" s="153">
        <f t="shared" si="4"/>
        <v>-9</v>
      </c>
      <c r="R18" s="149">
        <f t="shared" si="5"/>
        <v>-39</v>
      </c>
      <c r="S18" s="150">
        <v>29</v>
      </c>
      <c r="T18" s="146">
        <f t="shared" si="6"/>
        <v>0</v>
      </c>
      <c r="U18" s="146">
        <f t="shared" si="7"/>
        <v>-18520.32</v>
      </c>
      <c r="V18" s="150">
        <f t="shared" si="1"/>
        <v>129</v>
      </c>
    </row>
    <row r="19" spans="1:22" s="18" customFormat="1" ht="12.75">
      <c r="A19" s="143" t="s">
        <v>130</v>
      </c>
      <c r="B19" s="144">
        <v>42186</v>
      </c>
      <c r="C19" s="145" t="s">
        <v>131</v>
      </c>
      <c r="D19" s="146">
        <v>726</v>
      </c>
      <c r="E19" s="150"/>
      <c r="K19" s="144">
        <v>42195</v>
      </c>
      <c r="L19" s="144"/>
      <c r="M19" s="166">
        <f t="shared" si="2"/>
        <v>42200</v>
      </c>
      <c r="N19" s="144">
        <v>42200</v>
      </c>
      <c r="O19" s="153">
        <f t="shared" si="0"/>
        <v>5</v>
      </c>
      <c r="P19" s="153">
        <f t="shared" si="3"/>
        <v>0</v>
      </c>
      <c r="Q19" s="153">
        <f t="shared" si="4"/>
        <v>5</v>
      </c>
      <c r="R19" s="149">
        <f t="shared" si="5"/>
        <v>-25</v>
      </c>
      <c r="S19" s="150">
        <v>21</v>
      </c>
      <c r="T19" s="146">
        <f t="shared" si="6"/>
        <v>0</v>
      </c>
      <c r="U19" s="146">
        <f t="shared" si="7"/>
        <v>-18150</v>
      </c>
      <c r="V19" s="150">
        <f t="shared" si="1"/>
        <v>121</v>
      </c>
    </row>
    <row r="20" spans="1:22" s="18" customFormat="1" ht="12.75">
      <c r="A20" s="143" t="s">
        <v>132</v>
      </c>
      <c r="B20" s="144">
        <v>42186</v>
      </c>
      <c r="C20" s="145" t="s">
        <v>133</v>
      </c>
      <c r="D20" s="146">
        <v>62.92</v>
      </c>
      <c r="K20" s="144">
        <v>42195</v>
      </c>
      <c r="L20" s="144"/>
      <c r="M20" s="166">
        <f t="shared" si="2"/>
        <v>42201</v>
      </c>
      <c r="N20" s="144">
        <v>42201</v>
      </c>
      <c r="O20" s="153">
        <f t="shared" si="0"/>
        <v>6</v>
      </c>
      <c r="P20" s="153">
        <f t="shared" si="3"/>
        <v>0</v>
      </c>
      <c r="Q20" s="153">
        <f t="shared" si="4"/>
        <v>6</v>
      </c>
      <c r="R20" s="149">
        <f t="shared" si="5"/>
        <v>-24</v>
      </c>
      <c r="S20" s="150">
        <v>21</v>
      </c>
      <c r="T20" s="146">
        <f t="shared" si="6"/>
        <v>0</v>
      </c>
      <c r="U20" s="146">
        <f t="shared" si="7"/>
        <v>-1510.08</v>
      </c>
      <c r="V20" s="150">
        <f t="shared" si="1"/>
        <v>121</v>
      </c>
    </row>
    <row r="21" spans="1:22" s="18" customFormat="1" ht="12.75">
      <c r="A21" s="143" t="s">
        <v>134</v>
      </c>
      <c r="B21" s="144">
        <v>42186</v>
      </c>
      <c r="C21" s="145" t="s">
        <v>135</v>
      </c>
      <c r="D21" s="146">
        <v>60.39</v>
      </c>
      <c r="K21" s="144">
        <v>42195</v>
      </c>
      <c r="L21" s="144"/>
      <c r="M21" s="166">
        <f t="shared" si="2"/>
        <v>42200</v>
      </c>
      <c r="N21" s="144">
        <v>42200</v>
      </c>
      <c r="O21" s="153">
        <f t="shared" si="0"/>
        <v>5</v>
      </c>
      <c r="P21" s="153">
        <f t="shared" si="3"/>
        <v>0</v>
      </c>
      <c r="Q21" s="153">
        <f t="shared" si="4"/>
        <v>5</v>
      </c>
      <c r="R21" s="149">
        <f t="shared" si="5"/>
        <v>-25</v>
      </c>
      <c r="S21" s="150">
        <v>29</v>
      </c>
      <c r="T21" s="146">
        <f t="shared" si="6"/>
        <v>0</v>
      </c>
      <c r="U21" s="146">
        <f t="shared" si="7"/>
        <v>-1509.75</v>
      </c>
      <c r="V21" s="150">
        <f t="shared" si="1"/>
        <v>129</v>
      </c>
    </row>
    <row r="22" spans="1:22" s="18" customFormat="1" ht="12.75">
      <c r="A22" s="143" t="s">
        <v>136</v>
      </c>
      <c r="B22" s="144">
        <v>42187</v>
      </c>
      <c r="C22" s="145" t="s">
        <v>137</v>
      </c>
      <c r="D22" s="146">
        <v>144.09</v>
      </c>
      <c r="K22" s="144">
        <v>42187</v>
      </c>
      <c r="L22" s="144"/>
      <c r="M22" s="166">
        <f t="shared" si="2"/>
        <v>42210</v>
      </c>
      <c r="N22" s="144">
        <v>42210</v>
      </c>
      <c r="O22" s="153">
        <f t="shared" si="0"/>
        <v>23</v>
      </c>
      <c r="P22" s="153">
        <f t="shared" si="3"/>
        <v>0</v>
      </c>
      <c r="Q22" s="153">
        <f t="shared" si="4"/>
        <v>23</v>
      </c>
      <c r="R22" s="149">
        <f t="shared" si="5"/>
        <v>-7</v>
      </c>
      <c r="S22" s="150">
        <v>29</v>
      </c>
      <c r="T22" s="146">
        <f t="shared" si="6"/>
        <v>0</v>
      </c>
      <c r="U22" s="146">
        <f t="shared" si="7"/>
        <v>-1008.63</v>
      </c>
      <c r="V22" s="150">
        <f t="shared" si="1"/>
        <v>129</v>
      </c>
    </row>
    <row r="23" spans="1:22" s="18" customFormat="1" ht="12.75">
      <c r="A23" s="143" t="s">
        <v>138</v>
      </c>
      <c r="B23" s="144">
        <v>42193</v>
      </c>
      <c r="C23" s="145" t="s">
        <v>139</v>
      </c>
      <c r="D23" s="146">
        <v>387.2</v>
      </c>
      <c r="K23" s="144">
        <v>42200</v>
      </c>
      <c r="L23" s="144"/>
      <c r="M23" s="166">
        <f t="shared" si="2"/>
        <v>42201</v>
      </c>
      <c r="N23" s="144">
        <v>42201</v>
      </c>
      <c r="O23" s="153">
        <f t="shared" si="0"/>
        <v>1</v>
      </c>
      <c r="P23" s="153">
        <f t="shared" si="3"/>
        <v>0</v>
      </c>
      <c r="Q23" s="153">
        <f t="shared" si="4"/>
        <v>1</v>
      </c>
      <c r="R23" s="149">
        <f t="shared" si="5"/>
        <v>-29</v>
      </c>
      <c r="S23" s="150">
        <v>29</v>
      </c>
      <c r="T23" s="146">
        <f t="shared" si="6"/>
        <v>0</v>
      </c>
      <c r="U23" s="146">
        <f t="shared" si="7"/>
        <v>-11228.8</v>
      </c>
      <c r="V23" s="150">
        <f t="shared" si="1"/>
        <v>129</v>
      </c>
    </row>
    <row r="24" spans="1:22" s="18" customFormat="1" ht="12.75">
      <c r="A24" s="143" t="s">
        <v>140</v>
      </c>
      <c r="B24" s="144">
        <v>42198</v>
      </c>
      <c r="C24" s="145" t="s">
        <v>141</v>
      </c>
      <c r="D24" s="146">
        <v>1400</v>
      </c>
      <c r="K24" s="144">
        <v>42200</v>
      </c>
      <c r="L24" s="144"/>
      <c r="M24" s="166">
        <f t="shared" si="2"/>
        <v>42201</v>
      </c>
      <c r="N24" s="144">
        <v>42201</v>
      </c>
      <c r="O24" s="153">
        <f t="shared" si="0"/>
        <v>1</v>
      </c>
      <c r="P24" s="153">
        <f t="shared" si="3"/>
        <v>0</v>
      </c>
      <c r="Q24" s="153">
        <f t="shared" si="4"/>
        <v>1</v>
      </c>
      <c r="R24" s="149">
        <f t="shared" si="5"/>
        <v>-29</v>
      </c>
      <c r="S24" s="150">
        <v>29</v>
      </c>
      <c r="T24" s="146">
        <f t="shared" si="6"/>
        <v>0</v>
      </c>
      <c r="U24" s="146">
        <f t="shared" si="7"/>
        <v>-40600</v>
      </c>
      <c r="V24" s="150">
        <f t="shared" si="1"/>
        <v>129</v>
      </c>
    </row>
    <row r="25" spans="1:22" s="150" customFormat="1" ht="12.75">
      <c r="A25" s="147" t="s">
        <v>142</v>
      </c>
      <c r="B25" s="159">
        <v>42199</v>
      </c>
      <c r="C25" s="170" t="s">
        <v>143</v>
      </c>
      <c r="D25" s="161">
        <v>49.9</v>
      </c>
      <c r="K25" s="159">
        <v>42201</v>
      </c>
      <c r="L25" s="159"/>
      <c r="M25" s="171">
        <f t="shared" si="2"/>
        <v>42249</v>
      </c>
      <c r="N25" s="159">
        <v>42249</v>
      </c>
      <c r="O25" s="172">
        <f t="shared" si="0"/>
        <v>48</v>
      </c>
      <c r="P25" s="172">
        <f t="shared" si="3"/>
        <v>0</v>
      </c>
      <c r="Q25" s="172">
        <f t="shared" si="4"/>
        <v>48</v>
      </c>
      <c r="R25" s="162">
        <f t="shared" si="5"/>
        <v>18</v>
      </c>
      <c r="S25" s="150">
        <v>29</v>
      </c>
      <c r="T25" s="161">
        <f t="shared" si="6"/>
        <v>0</v>
      </c>
      <c r="U25" s="161">
        <f t="shared" si="7"/>
        <v>898.1999999999999</v>
      </c>
      <c r="V25" s="150">
        <f t="shared" si="1"/>
        <v>129</v>
      </c>
    </row>
    <row r="26" spans="1:22" s="18" customFormat="1" ht="12.75">
      <c r="A26" s="143" t="s">
        <v>144</v>
      </c>
      <c r="B26" s="144">
        <v>42199</v>
      </c>
      <c r="C26" s="145" t="s">
        <v>145</v>
      </c>
      <c r="D26" s="146">
        <v>561.98</v>
      </c>
      <c r="K26" s="144">
        <v>42201</v>
      </c>
      <c r="L26" s="144"/>
      <c r="M26" s="166">
        <f t="shared" si="2"/>
        <v>42201</v>
      </c>
      <c r="N26" s="144">
        <v>42201</v>
      </c>
      <c r="O26" s="153">
        <f aca="true" t="shared" si="8" ref="O26:O57">+M26-K26</f>
        <v>0</v>
      </c>
      <c r="P26" s="153">
        <f t="shared" si="3"/>
        <v>0</v>
      </c>
      <c r="Q26" s="153">
        <f>+N26-K26</f>
        <v>0</v>
      </c>
      <c r="R26" s="149">
        <f>+Q26-30</f>
        <v>-30</v>
      </c>
      <c r="S26" s="150">
        <v>29</v>
      </c>
      <c r="T26" s="146">
        <f t="shared" si="6"/>
        <v>0</v>
      </c>
      <c r="U26" s="146">
        <f t="shared" si="7"/>
        <v>-16859.4</v>
      </c>
      <c r="V26" s="150">
        <f t="shared" si="1"/>
        <v>129</v>
      </c>
    </row>
    <row r="27" spans="1:22" s="18" customFormat="1" ht="12.75">
      <c r="A27" s="143" t="s">
        <v>146</v>
      </c>
      <c r="B27" s="144">
        <v>42205</v>
      </c>
      <c r="C27" s="145" t="s">
        <v>147</v>
      </c>
      <c r="D27" s="146">
        <v>70.42</v>
      </c>
      <c r="K27" s="144">
        <v>42228</v>
      </c>
      <c r="L27" s="144"/>
      <c r="M27" s="166">
        <f t="shared" si="2"/>
        <v>42235</v>
      </c>
      <c r="N27" s="144">
        <v>42235</v>
      </c>
      <c r="O27" s="153">
        <f t="shared" si="8"/>
        <v>7</v>
      </c>
      <c r="P27" s="153">
        <f t="shared" si="3"/>
        <v>0</v>
      </c>
      <c r="Q27" s="153">
        <f aca="true" t="shared" si="9" ref="Q27:Q90">+N27-K27</f>
        <v>7</v>
      </c>
      <c r="R27" s="149">
        <f aca="true" t="shared" si="10" ref="R27:R90">+Q27-30</f>
        <v>-23</v>
      </c>
      <c r="S27" s="150">
        <v>29</v>
      </c>
      <c r="T27" s="146">
        <f t="shared" si="6"/>
        <v>0</v>
      </c>
      <c r="U27" s="146">
        <f t="shared" si="7"/>
        <v>-1619.66</v>
      </c>
      <c r="V27" s="150">
        <f t="shared" si="1"/>
        <v>129</v>
      </c>
    </row>
    <row r="28" spans="1:22" s="18" customFormat="1" ht="12.75">
      <c r="A28" s="143" t="s">
        <v>148</v>
      </c>
      <c r="B28" s="144">
        <v>42200</v>
      </c>
      <c r="C28" s="145" t="s">
        <v>149</v>
      </c>
      <c r="D28" s="146">
        <v>288.33</v>
      </c>
      <c r="K28" s="144">
        <v>42228</v>
      </c>
      <c r="L28" s="144"/>
      <c r="M28" s="166">
        <f t="shared" si="2"/>
        <v>42202</v>
      </c>
      <c r="N28" s="144">
        <v>42202</v>
      </c>
      <c r="O28" s="153">
        <f t="shared" si="8"/>
        <v>-26</v>
      </c>
      <c r="P28" s="153">
        <f t="shared" si="3"/>
        <v>0</v>
      </c>
      <c r="Q28" s="153">
        <f t="shared" si="9"/>
        <v>-26</v>
      </c>
      <c r="R28" s="149">
        <f t="shared" si="10"/>
        <v>-56</v>
      </c>
      <c r="S28" s="150">
        <v>29</v>
      </c>
      <c r="T28" s="146">
        <f t="shared" si="6"/>
        <v>0</v>
      </c>
      <c r="U28" s="146">
        <f t="shared" si="7"/>
        <v>-16146.48</v>
      </c>
      <c r="V28" s="150">
        <f t="shared" si="1"/>
        <v>129</v>
      </c>
    </row>
    <row r="29" spans="1:22" s="18" customFormat="1" ht="12.75">
      <c r="A29" s="143" t="s">
        <v>150</v>
      </c>
      <c r="B29" s="144">
        <v>42215</v>
      </c>
      <c r="C29" s="145" t="s">
        <v>151</v>
      </c>
      <c r="D29" s="146">
        <v>24</v>
      </c>
      <c r="K29" s="144">
        <v>42228</v>
      </c>
      <c r="L29" s="144"/>
      <c r="M29" s="166">
        <f t="shared" si="2"/>
        <v>42235</v>
      </c>
      <c r="N29" s="144">
        <v>42235</v>
      </c>
      <c r="O29" s="153">
        <f t="shared" si="8"/>
        <v>7</v>
      </c>
      <c r="P29" s="153">
        <f t="shared" si="3"/>
        <v>0</v>
      </c>
      <c r="Q29" s="153">
        <f t="shared" si="9"/>
        <v>7</v>
      </c>
      <c r="R29" s="149">
        <f t="shared" si="10"/>
        <v>-23</v>
      </c>
      <c r="S29" s="150">
        <v>22</v>
      </c>
      <c r="T29" s="146">
        <f t="shared" si="6"/>
        <v>0</v>
      </c>
      <c r="U29" s="146">
        <f t="shared" si="7"/>
        <v>-552</v>
      </c>
      <c r="V29" s="150">
        <f t="shared" si="1"/>
        <v>122</v>
      </c>
    </row>
    <row r="30" spans="1:22" s="18" customFormat="1" ht="12.75">
      <c r="A30" s="143" t="s">
        <v>152</v>
      </c>
      <c r="B30" s="144">
        <v>42193</v>
      </c>
      <c r="C30" s="145" t="s">
        <v>153</v>
      </c>
      <c r="D30" s="146">
        <v>12.8</v>
      </c>
      <c r="K30" s="144">
        <v>42228</v>
      </c>
      <c r="L30" s="144"/>
      <c r="M30" s="166">
        <f t="shared" si="2"/>
        <v>42235</v>
      </c>
      <c r="N30" s="144">
        <v>42235</v>
      </c>
      <c r="O30" s="153">
        <f t="shared" si="8"/>
        <v>7</v>
      </c>
      <c r="P30" s="153">
        <f t="shared" si="3"/>
        <v>0</v>
      </c>
      <c r="Q30" s="153">
        <f t="shared" si="9"/>
        <v>7</v>
      </c>
      <c r="R30" s="149">
        <f t="shared" si="10"/>
        <v>-23</v>
      </c>
      <c r="S30" s="150">
        <v>22</v>
      </c>
      <c r="T30" s="146">
        <f t="shared" si="6"/>
        <v>0</v>
      </c>
      <c r="U30" s="146">
        <f t="shared" si="7"/>
        <v>-294.40000000000003</v>
      </c>
      <c r="V30" s="150">
        <f t="shared" si="1"/>
        <v>122</v>
      </c>
    </row>
    <row r="31" spans="1:22" s="18" customFormat="1" ht="12.75">
      <c r="A31" s="143" t="s">
        <v>154</v>
      </c>
      <c r="B31" s="144">
        <v>42186</v>
      </c>
      <c r="C31" s="145" t="s">
        <v>155</v>
      </c>
      <c r="D31" s="146">
        <v>674.09</v>
      </c>
      <c r="K31" s="144">
        <v>42228</v>
      </c>
      <c r="L31" s="144"/>
      <c r="M31" s="166">
        <f t="shared" si="2"/>
        <v>42192</v>
      </c>
      <c r="N31" s="144">
        <v>42192</v>
      </c>
      <c r="O31" s="153">
        <f t="shared" si="8"/>
        <v>-36</v>
      </c>
      <c r="P31" s="153">
        <f t="shared" si="3"/>
        <v>0</v>
      </c>
      <c r="Q31" s="153">
        <f t="shared" si="9"/>
        <v>-36</v>
      </c>
      <c r="R31" s="149">
        <f t="shared" si="10"/>
        <v>-66</v>
      </c>
      <c r="S31" s="150">
        <v>20</v>
      </c>
      <c r="T31" s="146">
        <f t="shared" si="6"/>
        <v>0</v>
      </c>
      <c r="U31" s="146">
        <f t="shared" si="7"/>
        <v>-44489.94</v>
      </c>
      <c r="V31" s="150">
        <f t="shared" si="1"/>
        <v>120</v>
      </c>
    </row>
    <row r="32" spans="1:22" s="18" customFormat="1" ht="12.75">
      <c r="A32" s="143" t="s">
        <v>156</v>
      </c>
      <c r="B32" s="144">
        <v>42208</v>
      </c>
      <c r="C32" s="145" t="s">
        <v>157</v>
      </c>
      <c r="D32" s="146">
        <v>27.16</v>
      </c>
      <c r="K32" s="144">
        <v>42228</v>
      </c>
      <c r="L32" s="144"/>
      <c r="M32" s="166">
        <f t="shared" si="2"/>
        <v>42235</v>
      </c>
      <c r="N32" s="144">
        <v>42235</v>
      </c>
      <c r="O32" s="153">
        <f t="shared" si="8"/>
        <v>7</v>
      </c>
      <c r="P32" s="153">
        <f t="shared" si="3"/>
        <v>0</v>
      </c>
      <c r="Q32" s="153">
        <f t="shared" si="9"/>
        <v>7</v>
      </c>
      <c r="R32" s="149">
        <f t="shared" si="10"/>
        <v>-23</v>
      </c>
      <c r="S32" s="150">
        <v>22</v>
      </c>
      <c r="T32" s="146">
        <f t="shared" si="6"/>
        <v>0</v>
      </c>
      <c r="U32" s="146">
        <f t="shared" si="7"/>
        <v>-624.68</v>
      </c>
      <c r="V32" s="150">
        <f t="shared" si="1"/>
        <v>122</v>
      </c>
    </row>
    <row r="33" spans="1:22" s="18" customFormat="1" ht="12.75">
      <c r="A33" s="143" t="s">
        <v>158</v>
      </c>
      <c r="B33" s="144">
        <v>42186</v>
      </c>
      <c r="C33" s="145" t="s">
        <v>159</v>
      </c>
      <c r="D33" s="146">
        <v>33.28</v>
      </c>
      <c r="K33" s="144">
        <v>42228</v>
      </c>
      <c r="L33" s="144"/>
      <c r="M33" s="166">
        <f t="shared" si="2"/>
        <v>42235</v>
      </c>
      <c r="N33" s="144">
        <v>42235</v>
      </c>
      <c r="O33" s="153">
        <f t="shared" si="8"/>
        <v>7</v>
      </c>
      <c r="P33" s="153">
        <f t="shared" si="3"/>
        <v>0</v>
      </c>
      <c r="Q33" s="153">
        <f t="shared" si="9"/>
        <v>7</v>
      </c>
      <c r="R33" s="149">
        <f t="shared" si="10"/>
        <v>-23</v>
      </c>
      <c r="S33" s="150">
        <v>21</v>
      </c>
      <c r="T33" s="146">
        <f t="shared" si="6"/>
        <v>0</v>
      </c>
      <c r="U33" s="146">
        <f t="shared" si="7"/>
        <v>-765.44</v>
      </c>
      <c r="V33" s="150">
        <f t="shared" si="1"/>
        <v>121</v>
      </c>
    </row>
    <row r="34" spans="1:22" s="18" customFormat="1" ht="12.75">
      <c r="A34" s="143" t="s">
        <v>160</v>
      </c>
      <c r="B34" s="144">
        <v>42215</v>
      </c>
      <c r="C34" s="145" t="s">
        <v>161</v>
      </c>
      <c r="D34" s="146">
        <v>227.2</v>
      </c>
      <c r="K34" s="144">
        <v>42228</v>
      </c>
      <c r="L34" s="144"/>
      <c r="M34" s="166">
        <f t="shared" si="2"/>
        <v>42235</v>
      </c>
      <c r="N34" s="144">
        <v>42235</v>
      </c>
      <c r="O34" s="153">
        <f t="shared" si="8"/>
        <v>7</v>
      </c>
      <c r="P34" s="153">
        <f t="shared" si="3"/>
        <v>0</v>
      </c>
      <c r="Q34" s="153">
        <f t="shared" si="9"/>
        <v>7</v>
      </c>
      <c r="R34" s="149">
        <f t="shared" si="10"/>
        <v>-23</v>
      </c>
      <c r="S34" s="150">
        <v>29</v>
      </c>
      <c r="T34" s="146">
        <f t="shared" si="6"/>
        <v>0</v>
      </c>
      <c r="U34" s="146">
        <f t="shared" si="7"/>
        <v>-5225.599999999999</v>
      </c>
      <c r="V34" s="150">
        <f t="shared" si="1"/>
        <v>129</v>
      </c>
    </row>
    <row r="35" spans="1:22" s="18" customFormat="1" ht="12.75">
      <c r="A35" s="143" t="s">
        <v>162</v>
      </c>
      <c r="B35" s="144">
        <v>42200</v>
      </c>
      <c r="C35" s="145" t="s">
        <v>163</v>
      </c>
      <c r="D35" s="146">
        <v>302.5</v>
      </c>
      <c r="K35" s="144">
        <v>42228</v>
      </c>
      <c r="L35" s="144"/>
      <c r="M35" s="166">
        <f t="shared" si="2"/>
        <v>42235</v>
      </c>
      <c r="N35" s="144">
        <v>42235</v>
      </c>
      <c r="O35" s="153">
        <f t="shared" si="8"/>
        <v>7</v>
      </c>
      <c r="P35" s="153">
        <f t="shared" si="3"/>
        <v>0</v>
      </c>
      <c r="Q35" s="153">
        <f t="shared" si="9"/>
        <v>7</v>
      </c>
      <c r="R35" s="149">
        <f t="shared" si="10"/>
        <v>-23</v>
      </c>
      <c r="S35" s="150">
        <v>21</v>
      </c>
      <c r="T35" s="146">
        <f t="shared" si="6"/>
        <v>0</v>
      </c>
      <c r="U35" s="146">
        <f t="shared" si="7"/>
        <v>-6957.5</v>
      </c>
      <c r="V35" s="150">
        <f t="shared" si="1"/>
        <v>121</v>
      </c>
    </row>
    <row r="36" spans="1:22" s="18" customFormat="1" ht="12.75">
      <c r="A36" s="143" t="s">
        <v>164</v>
      </c>
      <c r="B36" s="144">
        <v>42195</v>
      </c>
      <c r="C36" s="145" t="s">
        <v>165</v>
      </c>
      <c r="D36" s="146">
        <v>46</v>
      </c>
      <c r="K36" s="144">
        <v>42228</v>
      </c>
      <c r="L36" s="144"/>
      <c r="M36" s="166">
        <f t="shared" si="2"/>
        <v>42235</v>
      </c>
      <c r="N36" s="144">
        <v>42235</v>
      </c>
      <c r="O36" s="153">
        <f t="shared" si="8"/>
        <v>7</v>
      </c>
      <c r="P36" s="153">
        <f t="shared" si="3"/>
        <v>0</v>
      </c>
      <c r="Q36" s="153">
        <f t="shared" si="9"/>
        <v>7</v>
      </c>
      <c r="R36" s="149">
        <f t="shared" si="10"/>
        <v>-23</v>
      </c>
      <c r="S36" s="150">
        <v>29</v>
      </c>
      <c r="T36" s="146">
        <f t="shared" si="6"/>
        <v>0</v>
      </c>
      <c r="U36" s="146">
        <f t="shared" si="7"/>
        <v>-1058</v>
      </c>
      <c r="V36" s="150">
        <f t="shared" si="1"/>
        <v>129</v>
      </c>
    </row>
    <row r="37" spans="1:22" s="18" customFormat="1" ht="12.75">
      <c r="A37" s="143" t="s">
        <v>166</v>
      </c>
      <c r="B37" s="144">
        <v>42216</v>
      </c>
      <c r="C37" s="145" t="s">
        <v>167</v>
      </c>
      <c r="D37" s="146">
        <v>48.09</v>
      </c>
      <c r="K37" s="144">
        <v>42228</v>
      </c>
      <c r="L37" s="144"/>
      <c r="M37" s="166">
        <f t="shared" si="2"/>
        <v>42235</v>
      </c>
      <c r="N37" s="144">
        <v>42235</v>
      </c>
      <c r="O37" s="153">
        <f t="shared" si="8"/>
        <v>7</v>
      </c>
      <c r="P37" s="153">
        <f t="shared" si="3"/>
        <v>0</v>
      </c>
      <c r="Q37" s="153">
        <f t="shared" si="9"/>
        <v>7</v>
      </c>
      <c r="R37" s="149">
        <f t="shared" si="10"/>
        <v>-23</v>
      </c>
      <c r="S37" s="150">
        <v>29</v>
      </c>
      <c r="T37" s="146">
        <f t="shared" si="6"/>
        <v>0</v>
      </c>
      <c r="U37" s="146">
        <f t="shared" si="7"/>
        <v>-1106.0700000000002</v>
      </c>
      <c r="V37" s="150">
        <f t="shared" si="1"/>
        <v>129</v>
      </c>
    </row>
    <row r="38" spans="1:22" s="18" customFormat="1" ht="12.75">
      <c r="A38" s="143" t="s">
        <v>168</v>
      </c>
      <c r="B38" s="144">
        <v>42219</v>
      </c>
      <c r="C38" s="145" t="s">
        <v>169</v>
      </c>
      <c r="D38" s="146">
        <v>116.97</v>
      </c>
      <c r="K38" s="144">
        <v>42228</v>
      </c>
      <c r="L38" s="144"/>
      <c r="M38" s="166">
        <f t="shared" si="2"/>
        <v>42235</v>
      </c>
      <c r="N38" s="144">
        <v>42235</v>
      </c>
      <c r="O38" s="153">
        <f t="shared" si="8"/>
        <v>7</v>
      </c>
      <c r="P38" s="153">
        <f t="shared" si="3"/>
        <v>0</v>
      </c>
      <c r="Q38" s="153">
        <f t="shared" si="9"/>
        <v>7</v>
      </c>
      <c r="R38" s="149">
        <f t="shared" si="10"/>
        <v>-23</v>
      </c>
      <c r="S38" s="150">
        <v>29</v>
      </c>
      <c r="T38" s="146">
        <f t="shared" si="6"/>
        <v>0</v>
      </c>
      <c r="U38" s="146">
        <f t="shared" si="7"/>
        <v>-2690.31</v>
      </c>
      <c r="V38" s="150">
        <f t="shared" si="1"/>
        <v>129</v>
      </c>
    </row>
    <row r="39" spans="1:22" s="18" customFormat="1" ht="12.75">
      <c r="A39" s="143" t="s">
        <v>170</v>
      </c>
      <c r="B39" s="144">
        <v>42201</v>
      </c>
      <c r="C39" s="145" t="s">
        <v>171</v>
      </c>
      <c r="D39" s="146">
        <v>4900</v>
      </c>
      <c r="K39" s="144">
        <v>42228</v>
      </c>
      <c r="L39" s="144"/>
      <c r="M39" s="166">
        <f t="shared" si="2"/>
        <v>42235</v>
      </c>
      <c r="N39" s="144">
        <v>42235</v>
      </c>
      <c r="O39" s="153">
        <f t="shared" si="8"/>
        <v>7</v>
      </c>
      <c r="P39" s="153">
        <f t="shared" si="3"/>
        <v>0</v>
      </c>
      <c r="Q39" s="153">
        <f t="shared" si="9"/>
        <v>7</v>
      </c>
      <c r="R39" s="149">
        <f t="shared" si="10"/>
        <v>-23</v>
      </c>
      <c r="S39" s="150">
        <v>29</v>
      </c>
      <c r="T39" s="146">
        <f t="shared" si="6"/>
        <v>0</v>
      </c>
      <c r="U39" s="146">
        <f t="shared" si="7"/>
        <v>-112700</v>
      </c>
      <c r="V39" s="150">
        <f t="shared" si="1"/>
        <v>129</v>
      </c>
    </row>
    <row r="40" spans="1:22" s="18" customFormat="1" ht="12.75">
      <c r="A40" s="143" t="s">
        <v>172</v>
      </c>
      <c r="B40" s="144">
        <v>42192</v>
      </c>
      <c r="C40" s="145" t="s">
        <v>173</v>
      </c>
      <c r="D40" s="146">
        <v>837.93</v>
      </c>
      <c r="K40" s="144">
        <v>42192</v>
      </c>
      <c r="L40" s="144"/>
      <c r="M40" s="166">
        <f t="shared" si="2"/>
        <v>42202</v>
      </c>
      <c r="N40" s="144">
        <v>42202</v>
      </c>
      <c r="O40" s="153">
        <f t="shared" si="8"/>
        <v>10</v>
      </c>
      <c r="P40" s="153">
        <f t="shared" si="3"/>
        <v>0</v>
      </c>
      <c r="Q40" s="153">
        <f t="shared" si="9"/>
        <v>10</v>
      </c>
      <c r="R40" s="149">
        <f t="shared" si="10"/>
        <v>-20</v>
      </c>
      <c r="S40" s="150">
        <v>29</v>
      </c>
      <c r="T40" s="146">
        <f t="shared" si="6"/>
        <v>0</v>
      </c>
      <c r="U40" s="146">
        <f t="shared" si="7"/>
        <v>-16758.6</v>
      </c>
      <c r="V40" s="150">
        <f t="shared" si="1"/>
        <v>129</v>
      </c>
    </row>
    <row r="41" spans="1:22" s="18" customFormat="1" ht="12.75">
      <c r="A41" s="143" t="s">
        <v>174</v>
      </c>
      <c r="B41" s="144">
        <v>42215</v>
      </c>
      <c r="C41" s="145" t="s">
        <v>175</v>
      </c>
      <c r="D41" s="146">
        <v>1149.5</v>
      </c>
      <c r="K41" s="144">
        <v>42230</v>
      </c>
      <c r="L41" s="144"/>
      <c r="M41" s="166">
        <f t="shared" si="2"/>
        <v>42235</v>
      </c>
      <c r="N41" s="144">
        <v>42235</v>
      </c>
      <c r="O41" s="153">
        <f t="shared" si="8"/>
        <v>5</v>
      </c>
      <c r="P41" s="153">
        <f t="shared" si="3"/>
        <v>0</v>
      </c>
      <c r="Q41" s="153">
        <f t="shared" si="9"/>
        <v>5</v>
      </c>
      <c r="R41" s="149">
        <f t="shared" si="10"/>
        <v>-25</v>
      </c>
      <c r="S41" s="150">
        <v>29</v>
      </c>
      <c r="T41" s="146">
        <f t="shared" si="6"/>
        <v>0</v>
      </c>
      <c r="U41" s="146">
        <f t="shared" si="7"/>
        <v>-28737.5</v>
      </c>
      <c r="V41" s="150">
        <f t="shared" si="1"/>
        <v>129</v>
      </c>
    </row>
    <row r="42" spans="1:22" s="18" customFormat="1" ht="12.75">
      <c r="A42" s="143" t="s">
        <v>176</v>
      </c>
      <c r="B42" s="144">
        <v>42209</v>
      </c>
      <c r="C42" s="145" t="s">
        <v>177</v>
      </c>
      <c r="D42" s="146">
        <v>21292.8</v>
      </c>
      <c r="K42" s="144">
        <v>42230</v>
      </c>
      <c r="L42" s="144"/>
      <c r="M42" s="166">
        <f t="shared" si="2"/>
        <v>42242</v>
      </c>
      <c r="N42" s="144">
        <v>42242</v>
      </c>
      <c r="O42" s="153">
        <f t="shared" si="8"/>
        <v>12</v>
      </c>
      <c r="P42" s="153">
        <f t="shared" si="3"/>
        <v>0</v>
      </c>
      <c r="Q42" s="153">
        <f t="shared" si="9"/>
        <v>12</v>
      </c>
      <c r="R42" s="149">
        <f t="shared" si="10"/>
        <v>-18</v>
      </c>
      <c r="S42" s="150">
        <v>22</v>
      </c>
      <c r="T42" s="146">
        <f t="shared" si="6"/>
        <v>0</v>
      </c>
      <c r="U42" s="146">
        <f t="shared" si="7"/>
        <v>-383270.39999999997</v>
      </c>
      <c r="V42" s="150">
        <f t="shared" si="1"/>
        <v>122</v>
      </c>
    </row>
    <row r="43" spans="1:22" s="18" customFormat="1" ht="12.75">
      <c r="A43" s="143" t="s">
        <v>178</v>
      </c>
      <c r="B43" s="144">
        <v>42209</v>
      </c>
      <c r="C43" s="145" t="s">
        <v>179</v>
      </c>
      <c r="D43" s="146">
        <v>5323.2</v>
      </c>
      <c r="K43" s="144">
        <v>42230</v>
      </c>
      <c r="L43" s="144"/>
      <c r="M43" s="166">
        <f t="shared" si="2"/>
        <v>42242</v>
      </c>
      <c r="N43" s="144">
        <v>42242</v>
      </c>
      <c r="O43" s="153">
        <f t="shared" si="8"/>
        <v>12</v>
      </c>
      <c r="P43" s="153">
        <f t="shared" si="3"/>
        <v>0</v>
      </c>
      <c r="Q43" s="153">
        <f t="shared" si="9"/>
        <v>12</v>
      </c>
      <c r="R43" s="149">
        <f t="shared" si="10"/>
        <v>-18</v>
      </c>
      <c r="S43" s="150">
        <v>20</v>
      </c>
      <c r="T43" s="146">
        <f t="shared" si="6"/>
        <v>0</v>
      </c>
      <c r="U43" s="146">
        <f t="shared" si="7"/>
        <v>-95817.59999999999</v>
      </c>
      <c r="V43" s="150">
        <f t="shared" si="1"/>
        <v>120</v>
      </c>
    </row>
    <row r="44" spans="1:22" s="18" customFormat="1" ht="12.75">
      <c r="A44" s="143" t="s">
        <v>180</v>
      </c>
      <c r="B44" s="144">
        <v>42209</v>
      </c>
      <c r="C44" s="145" t="s">
        <v>181</v>
      </c>
      <c r="D44" s="146">
        <v>18412.8</v>
      </c>
      <c r="K44" s="144">
        <v>42230</v>
      </c>
      <c r="L44" s="144"/>
      <c r="M44" s="166">
        <f t="shared" si="2"/>
        <v>42242</v>
      </c>
      <c r="N44" s="144">
        <v>42242</v>
      </c>
      <c r="O44" s="153">
        <f t="shared" si="8"/>
        <v>12</v>
      </c>
      <c r="P44" s="153">
        <f t="shared" si="3"/>
        <v>0</v>
      </c>
      <c r="Q44" s="153">
        <f t="shared" si="9"/>
        <v>12</v>
      </c>
      <c r="R44" s="149">
        <f t="shared" si="10"/>
        <v>-18</v>
      </c>
      <c r="S44" s="150">
        <v>22</v>
      </c>
      <c r="T44" s="146">
        <f t="shared" si="6"/>
        <v>0</v>
      </c>
      <c r="U44" s="146">
        <f t="shared" si="7"/>
        <v>-331430.39999999997</v>
      </c>
      <c r="V44" s="150">
        <f t="shared" si="1"/>
        <v>122</v>
      </c>
    </row>
    <row r="45" spans="1:22" s="18" customFormat="1" ht="12.75">
      <c r="A45" s="143" t="s">
        <v>182</v>
      </c>
      <c r="B45" s="144">
        <v>42209</v>
      </c>
      <c r="C45" s="145" t="s">
        <v>183</v>
      </c>
      <c r="D45" s="146">
        <v>4603.2</v>
      </c>
      <c r="K45" s="144">
        <v>42230</v>
      </c>
      <c r="L45" s="144"/>
      <c r="M45" s="166">
        <f t="shared" si="2"/>
        <v>42242</v>
      </c>
      <c r="N45" s="144">
        <v>42242</v>
      </c>
      <c r="O45" s="153">
        <f t="shared" si="8"/>
        <v>12</v>
      </c>
      <c r="P45" s="153">
        <f t="shared" si="3"/>
        <v>0</v>
      </c>
      <c r="Q45" s="153">
        <f t="shared" si="9"/>
        <v>12</v>
      </c>
      <c r="R45" s="149">
        <f t="shared" si="10"/>
        <v>-18</v>
      </c>
      <c r="S45" s="150">
        <v>20</v>
      </c>
      <c r="T45" s="146">
        <f t="shared" si="6"/>
        <v>0</v>
      </c>
      <c r="U45" s="146">
        <f t="shared" si="7"/>
        <v>-82857.59999999999</v>
      </c>
      <c r="V45" s="150">
        <f t="shared" si="1"/>
        <v>120</v>
      </c>
    </row>
    <row r="46" spans="1:22" s="18" customFormat="1" ht="12.75">
      <c r="A46" s="143" t="s">
        <v>184</v>
      </c>
      <c r="B46" s="144">
        <v>42212</v>
      </c>
      <c r="C46" s="145" t="s">
        <v>185</v>
      </c>
      <c r="D46" s="146">
        <v>36.84</v>
      </c>
      <c r="K46" s="144">
        <v>42234</v>
      </c>
      <c r="L46" s="144"/>
      <c r="M46" s="166">
        <f t="shared" si="2"/>
        <v>42220</v>
      </c>
      <c r="N46" s="144">
        <v>42220</v>
      </c>
      <c r="O46" s="153">
        <f t="shared" si="8"/>
        <v>-14</v>
      </c>
      <c r="P46" s="153">
        <f t="shared" si="3"/>
        <v>0</v>
      </c>
      <c r="Q46" s="153">
        <f t="shared" si="9"/>
        <v>-14</v>
      </c>
      <c r="R46" s="149">
        <f t="shared" si="10"/>
        <v>-44</v>
      </c>
      <c r="S46" s="150">
        <v>29</v>
      </c>
      <c r="T46" s="146">
        <f t="shared" si="6"/>
        <v>0</v>
      </c>
      <c r="U46" s="146">
        <f t="shared" si="7"/>
        <v>-1620.96</v>
      </c>
      <c r="V46" s="150">
        <f t="shared" si="1"/>
        <v>129</v>
      </c>
    </row>
    <row r="47" spans="1:22" s="18" customFormat="1" ht="12.75">
      <c r="A47" s="143" t="s">
        <v>186</v>
      </c>
      <c r="B47" s="144">
        <v>42212</v>
      </c>
      <c r="C47" s="145" t="s">
        <v>187</v>
      </c>
      <c r="D47" s="146">
        <v>25.95</v>
      </c>
      <c r="K47" s="144">
        <v>42234</v>
      </c>
      <c r="L47" s="144"/>
      <c r="M47" s="166">
        <f t="shared" si="2"/>
        <v>42220</v>
      </c>
      <c r="N47" s="144">
        <v>42220</v>
      </c>
      <c r="O47" s="153">
        <f t="shared" si="8"/>
        <v>-14</v>
      </c>
      <c r="P47" s="153">
        <f t="shared" si="3"/>
        <v>0</v>
      </c>
      <c r="Q47" s="153">
        <f t="shared" si="9"/>
        <v>-14</v>
      </c>
      <c r="R47" s="149">
        <f t="shared" si="10"/>
        <v>-44</v>
      </c>
      <c r="S47" s="150">
        <v>29</v>
      </c>
      <c r="T47" s="146">
        <f t="shared" si="6"/>
        <v>0</v>
      </c>
      <c r="U47" s="146">
        <f t="shared" si="7"/>
        <v>-1141.8</v>
      </c>
      <c r="V47" s="150">
        <f t="shared" si="1"/>
        <v>129</v>
      </c>
    </row>
    <row r="48" spans="1:22" s="18" customFormat="1" ht="12.75">
      <c r="A48" s="143" t="s">
        <v>188</v>
      </c>
      <c r="B48" s="144">
        <v>42212</v>
      </c>
      <c r="C48" s="145" t="s">
        <v>189</v>
      </c>
      <c r="D48" s="146">
        <v>38.53</v>
      </c>
      <c r="K48" s="144">
        <v>42234</v>
      </c>
      <c r="L48" s="144"/>
      <c r="M48" s="166">
        <f t="shared" si="2"/>
        <v>42221</v>
      </c>
      <c r="N48" s="144">
        <v>42221</v>
      </c>
      <c r="O48" s="153">
        <f t="shared" si="8"/>
        <v>-13</v>
      </c>
      <c r="P48" s="153">
        <f t="shared" si="3"/>
        <v>0</v>
      </c>
      <c r="Q48" s="153">
        <f t="shared" si="9"/>
        <v>-13</v>
      </c>
      <c r="R48" s="149">
        <f t="shared" si="10"/>
        <v>-43</v>
      </c>
      <c r="S48" s="150">
        <v>29</v>
      </c>
      <c r="T48" s="146">
        <f t="shared" si="6"/>
        <v>0</v>
      </c>
      <c r="U48" s="146">
        <f t="shared" si="7"/>
        <v>-1656.79</v>
      </c>
      <c r="V48" s="150">
        <f t="shared" si="1"/>
        <v>129</v>
      </c>
    </row>
    <row r="49" spans="1:22" s="18" customFormat="1" ht="12.75">
      <c r="A49" s="143" t="s">
        <v>190</v>
      </c>
      <c r="B49" s="144">
        <v>42213</v>
      </c>
      <c r="C49" s="145" t="s">
        <v>191</v>
      </c>
      <c r="D49" s="146">
        <v>25.47</v>
      </c>
      <c r="K49" s="144">
        <v>42234</v>
      </c>
      <c r="L49" s="144"/>
      <c r="M49" s="166">
        <f t="shared" si="2"/>
        <v>42221</v>
      </c>
      <c r="N49" s="144">
        <v>42221</v>
      </c>
      <c r="O49" s="153">
        <f t="shared" si="8"/>
        <v>-13</v>
      </c>
      <c r="P49" s="153">
        <f t="shared" si="3"/>
        <v>0</v>
      </c>
      <c r="Q49" s="153">
        <f t="shared" si="9"/>
        <v>-13</v>
      </c>
      <c r="R49" s="149">
        <f t="shared" si="10"/>
        <v>-43</v>
      </c>
      <c r="S49" s="150">
        <v>29</v>
      </c>
      <c r="T49" s="146">
        <f t="shared" si="6"/>
        <v>0</v>
      </c>
      <c r="U49" s="146">
        <f t="shared" si="7"/>
        <v>-1095.21</v>
      </c>
      <c r="V49" s="150">
        <f t="shared" si="1"/>
        <v>129</v>
      </c>
    </row>
    <row r="50" spans="1:22" s="18" customFormat="1" ht="12.75">
      <c r="A50" s="143" t="s">
        <v>192</v>
      </c>
      <c r="B50" s="144">
        <v>42213</v>
      </c>
      <c r="C50" s="145" t="s">
        <v>193</v>
      </c>
      <c r="D50" s="146">
        <v>37.59</v>
      </c>
      <c r="K50" s="144">
        <v>42234</v>
      </c>
      <c r="L50" s="144"/>
      <c r="M50" s="166">
        <f t="shared" si="2"/>
        <v>42235</v>
      </c>
      <c r="N50" s="144">
        <v>42235</v>
      </c>
      <c r="O50" s="153">
        <f t="shared" si="8"/>
        <v>1</v>
      </c>
      <c r="P50" s="153">
        <f t="shared" si="3"/>
        <v>0</v>
      </c>
      <c r="Q50" s="153">
        <f t="shared" si="9"/>
        <v>1</v>
      </c>
      <c r="R50" s="149">
        <f t="shared" si="10"/>
        <v>-29</v>
      </c>
      <c r="S50" s="150">
        <v>29</v>
      </c>
      <c r="T50" s="146">
        <f t="shared" si="6"/>
        <v>0</v>
      </c>
      <c r="U50" s="146">
        <f t="shared" si="7"/>
        <v>-1090.1100000000001</v>
      </c>
      <c r="V50" s="150">
        <f t="shared" si="1"/>
        <v>129</v>
      </c>
    </row>
    <row r="51" spans="1:22" s="18" customFormat="1" ht="12.75">
      <c r="A51" s="143" t="s">
        <v>194</v>
      </c>
      <c r="B51" s="144">
        <v>42216</v>
      </c>
      <c r="C51" s="145" t="s">
        <v>195</v>
      </c>
      <c r="D51" s="146">
        <v>429.55</v>
      </c>
      <c r="K51" s="144">
        <v>42234</v>
      </c>
      <c r="L51" s="144"/>
      <c r="M51" s="166">
        <f t="shared" si="2"/>
        <v>42235</v>
      </c>
      <c r="N51" s="144">
        <v>42235</v>
      </c>
      <c r="O51" s="153">
        <f t="shared" si="8"/>
        <v>1</v>
      </c>
      <c r="P51" s="153">
        <f t="shared" si="3"/>
        <v>0</v>
      </c>
      <c r="Q51" s="153">
        <f t="shared" si="9"/>
        <v>1</v>
      </c>
      <c r="R51" s="149">
        <f t="shared" si="10"/>
        <v>-29</v>
      </c>
      <c r="S51" s="150">
        <v>29</v>
      </c>
      <c r="T51" s="146">
        <f t="shared" si="6"/>
        <v>0</v>
      </c>
      <c r="U51" s="146">
        <f t="shared" si="7"/>
        <v>-12456.95</v>
      </c>
      <c r="V51" s="150">
        <f t="shared" si="1"/>
        <v>129</v>
      </c>
    </row>
    <row r="52" spans="1:22" s="18" customFormat="1" ht="12.75">
      <c r="A52" s="143" t="s">
        <v>196</v>
      </c>
      <c r="B52" s="144">
        <v>42212</v>
      </c>
      <c r="C52" s="145" t="s">
        <v>197</v>
      </c>
      <c r="D52" s="146">
        <v>33.87</v>
      </c>
      <c r="K52" s="144">
        <v>42234</v>
      </c>
      <c r="L52" s="144"/>
      <c r="M52" s="166">
        <f t="shared" si="2"/>
        <v>42220</v>
      </c>
      <c r="N52" s="144">
        <v>42220</v>
      </c>
      <c r="O52" s="153">
        <f t="shared" si="8"/>
        <v>-14</v>
      </c>
      <c r="P52" s="153">
        <f t="shared" si="3"/>
        <v>0</v>
      </c>
      <c r="Q52" s="153">
        <f t="shared" si="9"/>
        <v>-14</v>
      </c>
      <c r="R52" s="149">
        <f t="shared" si="10"/>
        <v>-44</v>
      </c>
      <c r="S52" s="150">
        <v>29</v>
      </c>
      <c r="T52" s="146">
        <f t="shared" si="6"/>
        <v>0</v>
      </c>
      <c r="U52" s="146">
        <f t="shared" si="7"/>
        <v>-1490.28</v>
      </c>
      <c r="V52" s="150">
        <f t="shared" si="1"/>
        <v>129</v>
      </c>
    </row>
    <row r="53" spans="1:22" s="18" customFormat="1" ht="12.75">
      <c r="A53" s="143" t="s">
        <v>198</v>
      </c>
      <c r="B53" s="144">
        <v>42212</v>
      </c>
      <c r="C53" s="145" t="s">
        <v>199</v>
      </c>
      <c r="D53" s="146">
        <v>48.74</v>
      </c>
      <c r="K53" s="144">
        <v>42234</v>
      </c>
      <c r="L53" s="144"/>
      <c r="M53" s="166">
        <f t="shared" si="2"/>
        <v>42220</v>
      </c>
      <c r="N53" s="144">
        <v>42220</v>
      </c>
      <c r="O53" s="153">
        <f t="shared" si="8"/>
        <v>-14</v>
      </c>
      <c r="P53" s="153">
        <f t="shared" si="3"/>
        <v>0</v>
      </c>
      <c r="Q53" s="153">
        <f t="shared" si="9"/>
        <v>-14</v>
      </c>
      <c r="R53" s="149">
        <f t="shared" si="10"/>
        <v>-44</v>
      </c>
      <c r="S53" s="150">
        <v>29</v>
      </c>
      <c r="T53" s="146">
        <f t="shared" si="6"/>
        <v>0</v>
      </c>
      <c r="U53" s="146">
        <f t="shared" si="7"/>
        <v>-2144.56</v>
      </c>
      <c r="V53" s="150">
        <f t="shared" si="1"/>
        <v>129</v>
      </c>
    </row>
    <row r="54" spans="1:22" s="18" customFormat="1" ht="12.75">
      <c r="A54" s="143" t="s">
        <v>200</v>
      </c>
      <c r="B54" s="144">
        <v>42205</v>
      </c>
      <c r="C54" s="145" t="s">
        <v>201</v>
      </c>
      <c r="D54" s="146">
        <v>383.44</v>
      </c>
      <c r="K54" s="144">
        <v>42234</v>
      </c>
      <c r="L54" s="144"/>
      <c r="M54" s="166">
        <f t="shared" si="2"/>
        <v>42235</v>
      </c>
      <c r="N54" s="144">
        <v>42235</v>
      </c>
      <c r="O54" s="153">
        <f t="shared" si="8"/>
        <v>1</v>
      </c>
      <c r="P54" s="153">
        <f t="shared" si="3"/>
        <v>0</v>
      </c>
      <c r="Q54" s="153">
        <f t="shared" si="9"/>
        <v>1</v>
      </c>
      <c r="R54" s="149">
        <f t="shared" si="10"/>
        <v>-29</v>
      </c>
      <c r="S54" s="150">
        <v>21</v>
      </c>
      <c r="T54" s="146">
        <f t="shared" si="6"/>
        <v>0</v>
      </c>
      <c r="U54" s="146">
        <f t="shared" si="7"/>
        <v>-11119.76</v>
      </c>
      <c r="V54" s="150">
        <f t="shared" si="1"/>
        <v>121</v>
      </c>
    </row>
    <row r="55" spans="1:22" s="18" customFormat="1" ht="12.75">
      <c r="A55" s="143" t="s">
        <v>202</v>
      </c>
      <c r="B55" s="144">
        <v>42220</v>
      </c>
      <c r="C55" s="145" t="s">
        <v>203</v>
      </c>
      <c r="D55" s="146">
        <v>-2.16</v>
      </c>
      <c r="K55" s="144">
        <v>42220</v>
      </c>
      <c r="L55" s="144"/>
      <c r="M55" s="166">
        <f t="shared" si="2"/>
        <v>42234</v>
      </c>
      <c r="N55" s="144">
        <v>42234</v>
      </c>
      <c r="O55" s="153">
        <f t="shared" si="8"/>
        <v>14</v>
      </c>
      <c r="P55" s="153">
        <f t="shared" si="3"/>
        <v>0</v>
      </c>
      <c r="Q55" s="153">
        <f t="shared" si="9"/>
        <v>14</v>
      </c>
      <c r="R55" s="149">
        <f t="shared" si="10"/>
        <v>-16</v>
      </c>
      <c r="S55" s="150">
        <v>29</v>
      </c>
      <c r="T55" s="146">
        <f t="shared" si="6"/>
        <v>0</v>
      </c>
      <c r="U55" s="146">
        <f t="shared" si="7"/>
        <v>34.56</v>
      </c>
      <c r="V55" s="150">
        <f t="shared" si="1"/>
        <v>129</v>
      </c>
    </row>
    <row r="56" spans="1:22" s="18" customFormat="1" ht="12.75">
      <c r="A56" s="143" t="s">
        <v>204</v>
      </c>
      <c r="B56" s="144">
        <v>42220</v>
      </c>
      <c r="C56" s="145" t="s">
        <v>205</v>
      </c>
      <c r="D56" s="146">
        <v>-31.95</v>
      </c>
      <c r="K56" s="144">
        <v>42220</v>
      </c>
      <c r="L56" s="144"/>
      <c r="M56" s="166">
        <f t="shared" si="2"/>
        <v>42234</v>
      </c>
      <c r="N56" s="144">
        <v>42234</v>
      </c>
      <c r="O56" s="153">
        <f t="shared" si="8"/>
        <v>14</v>
      </c>
      <c r="P56" s="153">
        <f t="shared" si="3"/>
        <v>0</v>
      </c>
      <c r="Q56" s="153">
        <f t="shared" si="9"/>
        <v>14</v>
      </c>
      <c r="R56" s="149">
        <f t="shared" si="10"/>
        <v>-16</v>
      </c>
      <c r="S56" s="150">
        <v>29</v>
      </c>
      <c r="T56" s="146">
        <f t="shared" si="6"/>
        <v>0</v>
      </c>
      <c r="U56" s="146">
        <f t="shared" si="7"/>
        <v>511.2</v>
      </c>
      <c r="V56" s="150">
        <f t="shared" si="1"/>
        <v>129</v>
      </c>
    </row>
    <row r="57" spans="1:22" s="18" customFormat="1" ht="12.75">
      <c r="A57" s="143" t="s">
        <v>206</v>
      </c>
      <c r="B57" s="144">
        <v>42220</v>
      </c>
      <c r="C57" s="145" t="s">
        <v>207</v>
      </c>
      <c r="D57" s="146">
        <v>-1.17</v>
      </c>
      <c r="K57" s="144">
        <v>42220</v>
      </c>
      <c r="L57" s="144"/>
      <c r="M57" s="166">
        <f t="shared" si="2"/>
        <v>42234</v>
      </c>
      <c r="N57" s="144">
        <v>42234</v>
      </c>
      <c r="O57" s="153">
        <f t="shared" si="8"/>
        <v>14</v>
      </c>
      <c r="P57" s="153">
        <f t="shared" si="3"/>
        <v>0</v>
      </c>
      <c r="Q57" s="153">
        <f t="shared" si="9"/>
        <v>14</v>
      </c>
      <c r="R57" s="149">
        <f t="shared" si="10"/>
        <v>-16</v>
      </c>
      <c r="S57" s="150">
        <v>29</v>
      </c>
      <c r="T57" s="146">
        <f t="shared" si="6"/>
        <v>0</v>
      </c>
      <c r="U57" s="146">
        <f t="shared" si="7"/>
        <v>18.72</v>
      </c>
      <c r="V57" s="150">
        <f t="shared" si="1"/>
        <v>129</v>
      </c>
    </row>
    <row r="58" spans="1:22" s="18" customFormat="1" ht="12.75">
      <c r="A58" s="143" t="s">
        <v>209</v>
      </c>
      <c r="B58" s="144">
        <v>42188</v>
      </c>
      <c r="C58" s="145" t="s">
        <v>208</v>
      </c>
      <c r="D58" s="146">
        <v>199.17</v>
      </c>
      <c r="K58" s="144">
        <v>42235</v>
      </c>
      <c r="L58" s="144"/>
      <c r="M58" s="166">
        <f t="shared" si="2"/>
        <v>42242</v>
      </c>
      <c r="N58" s="144">
        <v>42242</v>
      </c>
      <c r="O58" s="153">
        <f aca="true" t="shared" si="11" ref="O58:O89">+M58-K58</f>
        <v>7</v>
      </c>
      <c r="P58" s="153">
        <f t="shared" si="3"/>
        <v>0</v>
      </c>
      <c r="Q58" s="153">
        <f t="shared" si="9"/>
        <v>7</v>
      </c>
      <c r="R58" s="149">
        <f t="shared" si="10"/>
        <v>-23</v>
      </c>
      <c r="S58" s="150">
        <v>29</v>
      </c>
      <c r="T58" s="146">
        <f t="shared" si="6"/>
        <v>0</v>
      </c>
      <c r="U58" s="146">
        <f t="shared" si="7"/>
        <v>-4580.91</v>
      </c>
      <c r="V58" s="150">
        <f t="shared" si="1"/>
        <v>129</v>
      </c>
    </row>
    <row r="59" spans="1:22" s="18" customFormat="1" ht="12.75">
      <c r="A59" s="143" t="s">
        <v>210</v>
      </c>
      <c r="B59" s="144">
        <v>42228</v>
      </c>
      <c r="C59" s="145" t="s">
        <v>211</v>
      </c>
      <c r="D59" s="146">
        <v>440.72</v>
      </c>
      <c r="K59" s="144">
        <v>42236</v>
      </c>
      <c r="L59" s="144"/>
      <c r="M59" s="166">
        <f t="shared" si="2"/>
        <v>42230</v>
      </c>
      <c r="N59" s="144">
        <v>42230</v>
      </c>
      <c r="O59" s="153">
        <f t="shared" si="11"/>
        <v>-6</v>
      </c>
      <c r="P59" s="153">
        <f t="shared" si="3"/>
        <v>0</v>
      </c>
      <c r="Q59" s="153">
        <f t="shared" si="9"/>
        <v>-6</v>
      </c>
      <c r="R59" s="149">
        <f t="shared" si="10"/>
        <v>-36</v>
      </c>
      <c r="S59" s="150">
        <v>29</v>
      </c>
      <c r="T59" s="146">
        <f t="shared" si="6"/>
        <v>0</v>
      </c>
      <c r="U59" s="146">
        <f t="shared" si="7"/>
        <v>-15865.920000000002</v>
      </c>
      <c r="V59" s="150">
        <f t="shared" si="1"/>
        <v>129</v>
      </c>
    </row>
    <row r="60" spans="1:22" s="18" customFormat="1" ht="12.75">
      <c r="A60" s="143" t="s">
        <v>212</v>
      </c>
      <c r="B60" s="144">
        <v>42212</v>
      </c>
      <c r="C60" s="145" t="s">
        <v>213</v>
      </c>
      <c r="D60" s="146">
        <v>85.06</v>
      </c>
      <c r="K60" s="144">
        <v>42236</v>
      </c>
      <c r="L60" s="144"/>
      <c r="M60" s="166">
        <f t="shared" si="2"/>
        <v>42220</v>
      </c>
      <c r="N60" s="144">
        <v>42220</v>
      </c>
      <c r="O60" s="153">
        <f t="shared" si="11"/>
        <v>-16</v>
      </c>
      <c r="P60" s="153">
        <f t="shared" si="3"/>
        <v>0</v>
      </c>
      <c r="Q60" s="153">
        <f t="shared" si="9"/>
        <v>-16</v>
      </c>
      <c r="R60" s="149">
        <f t="shared" si="10"/>
        <v>-46</v>
      </c>
      <c r="S60" s="150">
        <v>29</v>
      </c>
      <c r="T60" s="146">
        <f t="shared" si="6"/>
        <v>0</v>
      </c>
      <c r="U60" s="146">
        <f t="shared" si="7"/>
        <v>-3912.76</v>
      </c>
      <c r="V60" s="150">
        <f t="shared" si="1"/>
        <v>129</v>
      </c>
    </row>
    <row r="61" spans="1:22" s="18" customFormat="1" ht="12.75">
      <c r="A61" s="143" t="s">
        <v>214</v>
      </c>
      <c r="B61" s="144">
        <v>42195</v>
      </c>
      <c r="C61" s="145" t="s">
        <v>215</v>
      </c>
      <c r="D61" s="146">
        <v>57.08</v>
      </c>
      <c r="K61" s="144">
        <v>42241</v>
      </c>
      <c r="L61" s="144"/>
      <c r="M61" s="166">
        <f t="shared" si="2"/>
        <v>42222</v>
      </c>
      <c r="N61" s="144">
        <v>42222</v>
      </c>
      <c r="O61" s="153">
        <f t="shared" si="11"/>
        <v>-19</v>
      </c>
      <c r="P61" s="153">
        <f t="shared" si="3"/>
        <v>0</v>
      </c>
      <c r="Q61" s="153">
        <f t="shared" si="9"/>
        <v>-19</v>
      </c>
      <c r="R61" s="149">
        <f t="shared" si="10"/>
        <v>-49</v>
      </c>
      <c r="S61" s="150">
        <v>29</v>
      </c>
      <c r="T61" s="146">
        <f t="shared" si="6"/>
        <v>0</v>
      </c>
      <c r="U61" s="146">
        <f t="shared" si="7"/>
        <v>-2796.92</v>
      </c>
      <c r="V61" s="150">
        <f t="shared" si="1"/>
        <v>129</v>
      </c>
    </row>
    <row r="62" spans="1:22" s="18" customFormat="1" ht="12.75">
      <c r="A62" s="143" t="s">
        <v>216</v>
      </c>
      <c r="B62" s="144">
        <v>42199</v>
      </c>
      <c r="C62" s="145" t="s">
        <v>217</v>
      </c>
      <c r="D62" s="146">
        <v>337.38</v>
      </c>
      <c r="K62" s="144">
        <v>42241</v>
      </c>
      <c r="L62" s="144"/>
      <c r="M62" s="166">
        <f t="shared" si="2"/>
        <v>42201</v>
      </c>
      <c r="N62" s="144">
        <v>42201</v>
      </c>
      <c r="O62" s="153">
        <f t="shared" si="11"/>
        <v>-40</v>
      </c>
      <c r="P62" s="153">
        <f t="shared" si="3"/>
        <v>0</v>
      </c>
      <c r="Q62" s="153">
        <f t="shared" si="9"/>
        <v>-40</v>
      </c>
      <c r="R62" s="149">
        <f t="shared" si="10"/>
        <v>-70</v>
      </c>
      <c r="S62" s="150">
        <v>29</v>
      </c>
      <c r="T62" s="146">
        <f t="shared" si="6"/>
        <v>0</v>
      </c>
      <c r="U62" s="146">
        <f t="shared" si="7"/>
        <v>-23616.6</v>
      </c>
      <c r="V62" s="150">
        <f t="shared" si="1"/>
        <v>129</v>
      </c>
    </row>
    <row r="63" spans="1:22" s="18" customFormat="1" ht="12.75">
      <c r="A63" s="143" t="s">
        <v>218</v>
      </c>
      <c r="B63" s="144">
        <v>42215</v>
      </c>
      <c r="C63" s="145" t="s">
        <v>219</v>
      </c>
      <c r="D63" s="146">
        <v>330.74</v>
      </c>
      <c r="K63" s="144">
        <v>42241</v>
      </c>
      <c r="L63" s="144"/>
      <c r="M63" s="166">
        <f t="shared" si="2"/>
        <v>42277</v>
      </c>
      <c r="N63" s="144">
        <v>42277</v>
      </c>
      <c r="O63" s="153">
        <f t="shared" si="11"/>
        <v>36</v>
      </c>
      <c r="P63" s="153">
        <f t="shared" si="3"/>
        <v>0</v>
      </c>
      <c r="Q63" s="153">
        <f t="shared" si="9"/>
        <v>36</v>
      </c>
      <c r="R63" s="149">
        <f t="shared" si="10"/>
        <v>6</v>
      </c>
      <c r="S63" s="150">
        <v>22</v>
      </c>
      <c r="T63" s="146">
        <f t="shared" si="6"/>
        <v>0</v>
      </c>
      <c r="U63" s="146">
        <f t="shared" si="7"/>
        <v>1984.44</v>
      </c>
      <c r="V63" s="150">
        <f t="shared" si="1"/>
        <v>122</v>
      </c>
    </row>
    <row r="64" spans="1:22" s="18" customFormat="1" ht="12.75">
      <c r="A64" s="143" t="s">
        <v>220</v>
      </c>
      <c r="B64" s="144">
        <v>42186</v>
      </c>
      <c r="C64" s="145" t="s">
        <v>221</v>
      </c>
      <c r="D64" s="146">
        <v>241.52</v>
      </c>
      <c r="K64" s="144">
        <v>42241</v>
      </c>
      <c r="L64" s="144"/>
      <c r="M64" s="166">
        <f t="shared" si="2"/>
        <v>42233</v>
      </c>
      <c r="N64" s="144">
        <v>42233</v>
      </c>
      <c r="O64" s="153">
        <f t="shared" si="11"/>
        <v>-8</v>
      </c>
      <c r="P64" s="153">
        <f t="shared" si="3"/>
        <v>0</v>
      </c>
      <c r="Q64" s="153">
        <f t="shared" si="9"/>
        <v>-8</v>
      </c>
      <c r="R64" s="149">
        <f t="shared" si="10"/>
        <v>-38</v>
      </c>
      <c r="S64" s="150">
        <v>29</v>
      </c>
      <c r="T64" s="146">
        <f t="shared" si="6"/>
        <v>0</v>
      </c>
      <c r="U64" s="146">
        <f t="shared" si="7"/>
        <v>-9177.76</v>
      </c>
      <c r="V64" s="150">
        <f t="shared" si="1"/>
        <v>129</v>
      </c>
    </row>
    <row r="65" spans="1:22" s="18" customFormat="1" ht="12.75">
      <c r="A65" s="143" t="s">
        <v>222</v>
      </c>
      <c r="B65" s="144">
        <v>42217</v>
      </c>
      <c r="C65" s="145" t="s">
        <v>223</v>
      </c>
      <c r="D65" s="146">
        <v>674.09</v>
      </c>
      <c r="K65" s="144">
        <v>42241</v>
      </c>
      <c r="L65" s="144"/>
      <c r="M65" s="166">
        <f t="shared" si="2"/>
        <v>42221</v>
      </c>
      <c r="N65" s="144">
        <v>42221</v>
      </c>
      <c r="O65" s="153">
        <f t="shared" si="11"/>
        <v>-20</v>
      </c>
      <c r="P65" s="153">
        <f t="shared" si="3"/>
        <v>0</v>
      </c>
      <c r="Q65" s="153">
        <f t="shared" si="9"/>
        <v>-20</v>
      </c>
      <c r="R65" s="149">
        <f t="shared" si="10"/>
        <v>-50</v>
      </c>
      <c r="S65" s="150">
        <v>20</v>
      </c>
      <c r="T65" s="146">
        <f t="shared" si="6"/>
        <v>0</v>
      </c>
      <c r="U65" s="146">
        <f t="shared" si="7"/>
        <v>-33704.5</v>
      </c>
      <c r="V65" s="150">
        <f t="shared" si="1"/>
        <v>120</v>
      </c>
    </row>
    <row r="66" spans="1:22" s="18" customFormat="1" ht="12.75">
      <c r="A66" s="143" t="s">
        <v>224</v>
      </c>
      <c r="B66" s="144">
        <v>42215</v>
      </c>
      <c r="C66" s="145" t="s">
        <v>225</v>
      </c>
      <c r="D66" s="146">
        <v>53.54</v>
      </c>
      <c r="K66" s="144">
        <v>42241</v>
      </c>
      <c r="L66" s="144"/>
      <c r="M66" s="166">
        <f t="shared" si="2"/>
        <v>42226</v>
      </c>
      <c r="N66" s="144">
        <v>42226</v>
      </c>
      <c r="O66" s="153">
        <f t="shared" si="11"/>
        <v>-15</v>
      </c>
      <c r="P66" s="153">
        <f t="shared" si="3"/>
        <v>0</v>
      </c>
      <c r="Q66" s="153">
        <f t="shared" si="9"/>
        <v>-15</v>
      </c>
      <c r="R66" s="149">
        <f t="shared" si="10"/>
        <v>-45</v>
      </c>
      <c r="S66" s="150">
        <v>22</v>
      </c>
      <c r="T66" s="146">
        <f t="shared" si="6"/>
        <v>0</v>
      </c>
      <c r="U66" s="146">
        <f t="shared" si="7"/>
        <v>-2409.3</v>
      </c>
      <c r="V66" s="150">
        <f t="shared" si="1"/>
        <v>122</v>
      </c>
    </row>
    <row r="67" spans="1:22" s="18" customFormat="1" ht="12.75">
      <c r="A67" s="143" t="s">
        <v>226</v>
      </c>
      <c r="B67" s="144">
        <v>42216</v>
      </c>
      <c r="C67" s="145" t="s">
        <v>227</v>
      </c>
      <c r="D67" s="146">
        <v>132.39</v>
      </c>
      <c r="K67" s="144">
        <v>42241</v>
      </c>
      <c r="L67" s="144"/>
      <c r="M67" s="166">
        <f t="shared" si="2"/>
        <v>42222</v>
      </c>
      <c r="N67" s="144">
        <v>42222</v>
      </c>
      <c r="O67" s="153">
        <f t="shared" si="11"/>
        <v>-19</v>
      </c>
      <c r="P67" s="153">
        <f t="shared" si="3"/>
        <v>0</v>
      </c>
      <c r="Q67" s="153">
        <f t="shared" si="9"/>
        <v>-19</v>
      </c>
      <c r="R67" s="149">
        <f t="shared" si="10"/>
        <v>-49</v>
      </c>
      <c r="S67" s="150">
        <v>29</v>
      </c>
      <c r="T67" s="146">
        <f t="shared" si="6"/>
        <v>0</v>
      </c>
      <c r="U67" s="146">
        <f t="shared" si="7"/>
        <v>-6487.11</v>
      </c>
      <c r="V67" s="150">
        <f t="shared" si="1"/>
        <v>129</v>
      </c>
    </row>
    <row r="68" spans="1:22" s="18" customFormat="1" ht="12.75">
      <c r="A68" s="143" t="s">
        <v>228</v>
      </c>
      <c r="B68" s="144">
        <v>42215</v>
      </c>
      <c r="C68" s="145" t="s">
        <v>229</v>
      </c>
      <c r="D68" s="146">
        <v>1807.5</v>
      </c>
      <c r="K68" s="144">
        <v>42241</v>
      </c>
      <c r="L68" s="144"/>
      <c r="M68" s="166">
        <f t="shared" si="2"/>
        <v>42216</v>
      </c>
      <c r="N68" s="144">
        <v>42216</v>
      </c>
      <c r="O68" s="153">
        <f t="shared" si="11"/>
        <v>-25</v>
      </c>
      <c r="P68" s="153">
        <f t="shared" si="3"/>
        <v>0</v>
      </c>
      <c r="Q68" s="153">
        <f t="shared" si="9"/>
        <v>-25</v>
      </c>
      <c r="R68" s="149">
        <f t="shared" si="10"/>
        <v>-55</v>
      </c>
      <c r="S68" s="150">
        <v>29</v>
      </c>
      <c r="T68" s="146">
        <f t="shared" si="6"/>
        <v>0</v>
      </c>
      <c r="U68" s="146">
        <f t="shared" si="7"/>
        <v>-99412.5</v>
      </c>
      <c r="V68" s="150">
        <f t="shared" si="1"/>
        <v>129</v>
      </c>
    </row>
    <row r="69" spans="1:22" s="18" customFormat="1" ht="12.75">
      <c r="A69" s="143" t="s">
        <v>230</v>
      </c>
      <c r="B69" s="144">
        <v>42199</v>
      </c>
      <c r="C69" s="145" t="s">
        <v>231</v>
      </c>
      <c r="D69" s="146">
        <v>383.36</v>
      </c>
      <c r="K69" s="144">
        <v>42241</v>
      </c>
      <c r="L69" s="144"/>
      <c r="M69" s="166">
        <f t="shared" si="2"/>
        <v>42201</v>
      </c>
      <c r="N69" s="144">
        <v>42201</v>
      </c>
      <c r="O69" s="153">
        <f t="shared" si="11"/>
        <v>-40</v>
      </c>
      <c r="P69" s="153">
        <f t="shared" si="3"/>
        <v>0</v>
      </c>
      <c r="Q69" s="153">
        <f t="shared" si="9"/>
        <v>-40</v>
      </c>
      <c r="R69" s="149">
        <f t="shared" si="10"/>
        <v>-70</v>
      </c>
      <c r="S69" s="150">
        <v>29</v>
      </c>
      <c r="T69" s="146">
        <f t="shared" si="6"/>
        <v>0</v>
      </c>
      <c r="U69" s="146">
        <f t="shared" si="7"/>
        <v>-26835.2</v>
      </c>
      <c r="V69" s="150">
        <f t="shared" si="1"/>
        <v>129</v>
      </c>
    </row>
    <row r="70" spans="1:22" s="18" customFormat="1" ht="12.75">
      <c r="A70" s="143" t="s">
        <v>232</v>
      </c>
      <c r="B70" s="144">
        <v>42216</v>
      </c>
      <c r="C70" s="145" t="s">
        <v>233</v>
      </c>
      <c r="D70" s="146">
        <v>272.25</v>
      </c>
      <c r="K70" s="144">
        <v>42241</v>
      </c>
      <c r="L70" s="144"/>
      <c r="M70" s="155">
        <f aca="true" t="shared" si="12" ref="M70:M113">+N70</f>
        <v>42247</v>
      </c>
      <c r="N70" s="155">
        <v>42247</v>
      </c>
      <c r="O70" s="153">
        <f t="shared" si="11"/>
        <v>6</v>
      </c>
      <c r="P70" s="153">
        <f t="shared" si="3"/>
        <v>0</v>
      </c>
      <c r="Q70" s="153">
        <f t="shared" si="9"/>
        <v>6</v>
      </c>
      <c r="R70" s="149">
        <f t="shared" si="10"/>
        <v>-24</v>
      </c>
      <c r="S70" s="150">
        <v>22</v>
      </c>
      <c r="T70" s="146">
        <f t="shared" si="6"/>
        <v>0</v>
      </c>
      <c r="U70" s="146">
        <f t="shared" si="7"/>
        <v>-6534</v>
      </c>
      <c r="V70" s="150">
        <f t="shared" si="1"/>
        <v>122</v>
      </c>
    </row>
    <row r="71" spans="1:22" s="18" customFormat="1" ht="12.75">
      <c r="A71" s="143" t="s">
        <v>234</v>
      </c>
      <c r="B71" s="144">
        <v>42216</v>
      </c>
      <c r="C71" s="145" t="s">
        <v>235</v>
      </c>
      <c r="D71" s="146">
        <v>119.72</v>
      </c>
      <c r="K71" s="144">
        <v>42242</v>
      </c>
      <c r="L71" s="144"/>
      <c r="M71" s="155">
        <f t="shared" si="12"/>
        <v>42247</v>
      </c>
      <c r="N71" s="155">
        <v>42247</v>
      </c>
      <c r="O71" s="153">
        <f t="shared" si="11"/>
        <v>5</v>
      </c>
      <c r="P71" s="153">
        <f t="shared" si="3"/>
        <v>0</v>
      </c>
      <c r="Q71" s="153">
        <f t="shared" si="9"/>
        <v>5</v>
      </c>
      <c r="R71" s="149">
        <f t="shared" si="10"/>
        <v>-25</v>
      </c>
      <c r="S71" s="150">
        <v>22</v>
      </c>
      <c r="T71" s="146">
        <f t="shared" si="6"/>
        <v>0</v>
      </c>
      <c r="U71" s="146">
        <f t="shared" si="7"/>
        <v>-2993</v>
      </c>
      <c r="V71" s="150">
        <f aca="true" t="shared" si="13" ref="V71:V102">IF(P71&gt;30,200+S71,100+S71)</f>
        <v>122</v>
      </c>
    </row>
    <row r="72" spans="1:22" s="18" customFormat="1" ht="12.75">
      <c r="A72" s="143" t="s">
        <v>236</v>
      </c>
      <c r="B72" s="144">
        <v>42202</v>
      </c>
      <c r="C72" s="145" t="s">
        <v>237</v>
      </c>
      <c r="D72" s="146">
        <v>326.7</v>
      </c>
      <c r="K72" s="144">
        <v>42242</v>
      </c>
      <c r="L72" s="144"/>
      <c r="M72" s="166">
        <f t="shared" si="12"/>
        <v>42262</v>
      </c>
      <c r="N72" s="144">
        <v>42262</v>
      </c>
      <c r="O72" s="153">
        <f t="shared" si="11"/>
        <v>20</v>
      </c>
      <c r="P72" s="153">
        <f aca="true" t="shared" si="14" ref="P72:P113">+N72-M72</f>
        <v>0</v>
      </c>
      <c r="Q72" s="153">
        <f t="shared" si="9"/>
        <v>20</v>
      </c>
      <c r="R72" s="149">
        <f t="shared" si="10"/>
        <v>-10</v>
      </c>
      <c r="S72" s="150">
        <v>29</v>
      </c>
      <c r="T72" s="146">
        <f aca="true" t="shared" si="15" ref="T72:T103">+P72*D72</f>
        <v>0</v>
      </c>
      <c r="U72" s="146">
        <f aca="true" t="shared" si="16" ref="U72:U103">+R72*D72</f>
        <v>-3267</v>
      </c>
      <c r="V72" s="150">
        <f t="shared" si="13"/>
        <v>129</v>
      </c>
    </row>
    <row r="73" spans="1:22" s="18" customFormat="1" ht="12.75">
      <c r="A73" s="143" t="s">
        <v>238</v>
      </c>
      <c r="B73" s="144">
        <v>42201</v>
      </c>
      <c r="C73" s="145" t="s">
        <v>239</v>
      </c>
      <c r="D73" s="146">
        <v>426.25</v>
      </c>
      <c r="K73" s="144">
        <v>42242</v>
      </c>
      <c r="L73" s="144"/>
      <c r="M73" s="166">
        <f t="shared" si="12"/>
        <v>42205</v>
      </c>
      <c r="N73" s="144">
        <v>42205</v>
      </c>
      <c r="O73" s="153">
        <f t="shared" si="11"/>
        <v>-37</v>
      </c>
      <c r="P73" s="153">
        <f t="shared" si="14"/>
        <v>0</v>
      </c>
      <c r="Q73" s="153">
        <f t="shared" si="9"/>
        <v>-37</v>
      </c>
      <c r="R73" s="149">
        <f t="shared" si="10"/>
        <v>-67</v>
      </c>
      <c r="S73" s="150">
        <v>29</v>
      </c>
      <c r="T73" s="146">
        <f t="shared" si="15"/>
        <v>0</v>
      </c>
      <c r="U73" s="146">
        <f t="shared" si="16"/>
        <v>-28558.75</v>
      </c>
      <c r="V73" s="150">
        <f t="shared" si="13"/>
        <v>129</v>
      </c>
    </row>
    <row r="74" spans="1:22" s="18" customFormat="1" ht="12.75">
      <c r="A74" s="143" t="s">
        <v>240</v>
      </c>
      <c r="B74" s="144">
        <v>42216</v>
      </c>
      <c r="C74" s="145" t="s">
        <v>241</v>
      </c>
      <c r="D74" s="146">
        <v>963.38</v>
      </c>
      <c r="K74" s="144">
        <v>42242</v>
      </c>
      <c r="L74" s="144"/>
      <c r="M74" s="166">
        <f t="shared" si="12"/>
        <v>42262</v>
      </c>
      <c r="N74" s="144">
        <v>42262</v>
      </c>
      <c r="O74" s="153">
        <f t="shared" si="11"/>
        <v>20</v>
      </c>
      <c r="P74" s="153">
        <f t="shared" si="14"/>
        <v>0</v>
      </c>
      <c r="Q74" s="153">
        <f t="shared" si="9"/>
        <v>20</v>
      </c>
      <c r="R74" s="149">
        <f t="shared" si="10"/>
        <v>-10</v>
      </c>
      <c r="S74" s="150">
        <v>29</v>
      </c>
      <c r="T74" s="146">
        <f t="shared" si="15"/>
        <v>0</v>
      </c>
      <c r="U74" s="146">
        <f t="shared" si="16"/>
        <v>-9633.8</v>
      </c>
      <c r="V74" s="150">
        <f t="shared" si="13"/>
        <v>129</v>
      </c>
    </row>
    <row r="75" spans="1:22" s="18" customFormat="1" ht="12.75">
      <c r="A75" s="143" t="s">
        <v>242</v>
      </c>
      <c r="B75" s="144">
        <v>42216</v>
      </c>
      <c r="C75" s="145" t="s">
        <v>243</v>
      </c>
      <c r="D75" s="146">
        <v>92.26</v>
      </c>
      <c r="K75" s="144">
        <v>42243</v>
      </c>
      <c r="L75" s="144"/>
      <c r="M75" s="155">
        <f t="shared" si="12"/>
        <v>42247</v>
      </c>
      <c r="N75" s="155">
        <v>42247</v>
      </c>
      <c r="O75" s="153">
        <f t="shared" si="11"/>
        <v>4</v>
      </c>
      <c r="P75" s="153">
        <f t="shared" si="14"/>
        <v>0</v>
      </c>
      <c r="Q75" s="153">
        <f t="shared" si="9"/>
        <v>4</v>
      </c>
      <c r="R75" s="149">
        <f t="shared" si="10"/>
        <v>-26</v>
      </c>
      <c r="S75" s="150">
        <v>22</v>
      </c>
      <c r="T75" s="146">
        <f t="shared" si="15"/>
        <v>0</v>
      </c>
      <c r="U75" s="146">
        <f t="shared" si="16"/>
        <v>-2398.76</v>
      </c>
      <c r="V75" s="150">
        <f t="shared" si="13"/>
        <v>122</v>
      </c>
    </row>
    <row r="76" spans="1:22" s="18" customFormat="1" ht="12.75">
      <c r="A76" s="143" t="s">
        <v>244</v>
      </c>
      <c r="B76" s="144">
        <v>42241</v>
      </c>
      <c r="C76" s="145" t="s">
        <v>245</v>
      </c>
      <c r="D76" s="146">
        <v>25</v>
      </c>
      <c r="K76" s="144">
        <v>42242</v>
      </c>
      <c r="L76" s="144"/>
      <c r="M76" s="166">
        <f t="shared" si="12"/>
        <v>42152</v>
      </c>
      <c r="N76" s="144">
        <v>42152</v>
      </c>
      <c r="O76" s="153">
        <f t="shared" si="11"/>
        <v>-90</v>
      </c>
      <c r="P76" s="153">
        <f t="shared" si="14"/>
        <v>0</v>
      </c>
      <c r="Q76" s="153">
        <f t="shared" si="9"/>
        <v>-90</v>
      </c>
      <c r="R76" s="149">
        <f t="shared" si="10"/>
        <v>-120</v>
      </c>
      <c r="S76" s="150">
        <v>29</v>
      </c>
      <c r="T76" s="146">
        <f t="shared" si="15"/>
        <v>0</v>
      </c>
      <c r="U76" s="146">
        <f t="shared" si="16"/>
        <v>-3000</v>
      </c>
      <c r="V76" s="150">
        <f t="shared" si="13"/>
        <v>129</v>
      </c>
    </row>
    <row r="77" spans="1:22" s="18" customFormat="1" ht="12.75">
      <c r="A77" s="143" t="s">
        <v>246</v>
      </c>
      <c r="B77" s="144">
        <v>42216</v>
      </c>
      <c r="C77" s="145" t="s">
        <v>247</v>
      </c>
      <c r="D77" s="146">
        <v>8800</v>
      </c>
      <c r="K77" s="144">
        <v>42244</v>
      </c>
      <c r="L77" s="144"/>
      <c r="M77" s="166">
        <f t="shared" si="12"/>
        <v>42261</v>
      </c>
      <c r="N77" s="144">
        <v>42261</v>
      </c>
      <c r="O77" s="153">
        <f t="shared" si="11"/>
        <v>17</v>
      </c>
      <c r="P77" s="153">
        <f t="shared" si="14"/>
        <v>0</v>
      </c>
      <c r="Q77" s="153">
        <f t="shared" si="9"/>
        <v>17</v>
      </c>
      <c r="R77" s="149">
        <f t="shared" si="10"/>
        <v>-13</v>
      </c>
      <c r="S77" s="150">
        <v>29</v>
      </c>
      <c r="T77" s="146">
        <f t="shared" si="15"/>
        <v>0</v>
      </c>
      <c r="U77" s="146">
        <f t="shared" si="16"/>
        <v>-114400</v>
      </c>
      <c r="V77" s="150">
        <f t="shared" si="13"/>
        <v>129</v>
      </c>
    </row>
    <row r="78" spans="1:22" s="18" customFormat="1" ht="12.75">
      <c r="A78" s="143" t="s">
        <v>248</v>
      </c>
      <c r="B78" s="144">
        <v>42229</v>
      </c>
      <c r="C78" s="145" t="s">
        <v>249</v>
      </c>
      <c r="D78" s="146">
        <v>248.07</v>
      </c>
      <c r="K78" s="144">
        <v>42248</v>
      </c>
      <c r="L78" s="144"/>
      <c r="M78" s="166">
        <f t="shared" si="12"/>
        <v>42233</v>
      </c>
      <c r="N78" s="144">
        <v>42233</v>
      </c>
      <c r="O78" s="153">
        <f t="shared" si="11"/>
        <v>-15</v>
      </c>
      <c r="P78" s="153">
        <f t="shared" si="14"/>
        <v>0</v>
      </c>
      <c r="Q78" s="153">
        <f t="shared" si="9"/>
        <v>-15</v>
      </c>
      <c r="R78" s="149">
        <f t="shared" si="10"/>
        <v>-45</v>
      </c>
      <c r="S78" s="150">
        <v>29</v>
      </c>
      <c r="T78" s="146">
        <f t="shared" si="15"/>
        <v>0</v>
      </c>
      <c r="U78" s="146">
        <f t="shared" si="16"/>
        <v>-11163.15</v>
      </c>
      <c r="V78" s="150">
        <f t="shared" si="13"/>
        <v>129</v>
      </c>
    </row>
    <row r="79" spans="1:22" s="18" customFormat="1" ht="12.75">
      <c r="A79" s="143" t="s">
        <v>250</v>
      </c>
      <c r="B79" s="144">
        <v>42242</v>
      </c>
      <c r="C79" s="145" t="s">
        <v>251</v>
      </c>
      <c r="D79" s="146">
        <v>23.1</v>
      </c>
      <c r="K79" s="144">
        <v>42250</v>
      </c>
      <c r="L79" s="144"/>
      <c r="M79" s="166">
        <f t="shared" si="12"/>
        <v>42262</v>
      </c>
      <c r="N79" s="144">
        <v>42262</v>
      </c>
      <c r="O79" s="153">
        <f t="shared" si="11"/>
        <v>12</v>
      </c>
      <c r="P79" s="153">
        <f t="shared" si="14"/>
        <v>0</v>
      </c>
      <c r="Q79" s="153">
        <f t="shared" si="9"/>
        <v>12</v>
      </c>
      <c r="R79" s="149">
        <f t="shared" si="10"/>
        <v>-18</v>
      </c>
      <c r="S79" s="150">
        <v>22</v>
      </c>
      <c r="T79" s="146">
        <f t="shared" si="15"/>
        <v>0</v>
      </c>
      <c r="U79" s="146">
        <f t="shared" si="16"/>
        <v>-415.8</v>
      </c>
      <c r="V79" s="150">
        <f t="shared" si="13"/>
        <v>122</v>
      </c>
    </row>
    <row r="80" spans="1:22" s="18" customFormat="1" ht="12.75">
      <c r="A80" s="143" t="s">
        <v>252</v>
      </c>
      <c r="B80" s="144">
        <v>42247</v>
      </c>
      <c r="C80" s="145" t="s">
        <v>253</v>
      </c>
      <c r="D80" s="146">
        <v>58</v>
      </c>
      <c r="K80" s="144">
        <v>42250</v>
      </c>
      <c r="L80" s="144"/>
      <c r="M80" s="166">
        <f t="shared" si="12"/>
        <v>42262</v>
      </c>
      <c r="N80" s="144">
        <v>42262</v>
      </c>
      <c r="O80" s="153">
        <f t="shared" si="11"/>
        <v>12</v>
      </c>
      <c r="P80" s="153">
        <f t="shared" si="14"/>
        <v>0</v>
      </c>
      <c r="Q80" s="153">
        <f t="shared" si="9"/>
        <v>12</v>
      </c>
      <c r="R80" s="149">
        <f t="shared" si="10"/>
        <v>-18</v>
      </c>
      <c r="S80" s="150">
        <v>29</v>
      </c>
      <c r="T80" s="146">
        <f t="shared" si="15"/>
        <v>0</v>
      </c>
      <c r="U80" s="146">
        <f t="shared" si="16"/>
        <v>-1044</v>
      </c>
      <c r="V80" s="150">
        <f t="shared" si="13"/>
        <v>129</v>
      </c>
    </row>
    <row r="81" spans="1:22" s="18" customFormat="1" ht="12.75">
      <c r="A81" s="143" t="s">
        <v>254</v>
      </c>
      <c r="B81" s="144">
        <v>42220</v>
      </c>
      <c r="C81" s="145" t="s">
        <v>255</v>
      </c>
      <c r="D81" s="146">
        <v>302.94</v>
      </c>
      <c r="K81" s="144">
        <v>42250</v>
      </c>
      <c r="L81" s="144"/>
      <c r="M81" s="166">
        <f t="shared" si="12"/>
        <v>42262</v>
      </c>
      <c r="N81" s="144">
        <v>42262</v>
      </c>
      <c r="O81" s="153">
        <f t="shared" si="11"/>
        <v>12</v>
      </c>
      <c r="P81" s="153">
        <f t="shared" si="14"/>
        <v>0</v>
      </c>
      <c r="Q81" s="153">
        <f t="shared" si="9"/>
        <v>12</v>
      </c>
      <c r="R81" s="149">
        <f t="shared" si="10"/>
        <v>-18</v>
      </c>
      <c r="S81" s="150">
        <v>22</v>
      </c>
      <c r="T81" s="146">
        <f t="shared" si="15"/>
        <v>0</v>
      </c>
      <c r="U81" s="146">
        <f t="shared" si="16"/>
        <v>-5452.92</v>
      </c>
      <c r="V81" s="150">
        <f t="shared" si="13"/>
        <v>122</v>
      </c>
    </row>
    <row r="82" spans="1:22" s="18" customFormat="1" ht="12.75">
      <c r="A82" s="143" t="s">
        <v>256</v>
      </c>
      <c r="B82" s="144">
        <v>42221</v>
      </c>
      <c r="C82" s="145" t="s">
        <v>257</v>
      </c>
      <c r="D82" s="146">
        <v>144.47</v>
      </c>
      <c r="K82" s="144">
        <v>42250</v>
      </c>
      <c r="L82" s="144"/>
      <c r="M82" s="166">
        <f t="shared" si="12"/>
        <v>42262</v>
      </c>
      <c r="N82" s="144">
        <v>42262</v>
      </c>
      <c r="O82" s="153">
        <f t="shared" si="11"/>
        <v>12</v>
      </c>
      <c r="P82" s="153">
        <f t="shared" si="14"/>
        <v>0</v>
      </c>
      <c r="Q82" s="153">
        <f t="shared" si="9"/>
        <v>12</v>
      </c>
      <c r="R82" s="149">
        <f t="shared" si="10"/>
        <v>-18</v>
      </c>
      <c r="S82" s="150">
        <v>22</v>
      </c>
      <c r="T82" s="146">
        <f t="shared" si="15"/>
        <v>0</v>
      </c>
      <c r="U82" s="146">
        <f t="shared" si="16"/>
        <v>-2600.46</v>
      </c>
      <c r="V82" s="150">
        <f t="shared" si="13"/>
        <v>122</v>
      </c>
    </row>
    <row r="83" spans="1:22" s="18" customFormat="1" ht="12.75">
      <c r="A83" s="143" t="s">
        <v>258</v>
      </c>
      <c r="B83" s="144">
        <v>42223</v>
      </c>
      <c r="C83" s="145" t="s">
        <v>259</v>
      </c>
      <c r="D83" s="146">
        <v>352.45</v>
      </c>
      <c r="K83" s="144">
        <v>42250</v>
      </c>
      <c r="L83" s="144"/>
      <c r="M83" s="166">
        <f t="shared" si="12"/>
        <v>42262</v>
      </c>
      <c r="N83" s="144">
        <v>42262</v>
      </c>
      <c r="O83" s="153">
        <f t="shared" si="11"/>
        <v>12</v>
      </c>
      <c r="P83" s="153">
        <f t="shared" si="14"/>
        <v>0</v>
      </c>
      <c r="Q83" s="153">
        <f t="shared" si="9"/>
        <v>12</v>
      </c>
      <c r="R83" s="149">
        <f t="shared" si="10"/>
        <v>-18</v>
      </c>
      <c r="S83" s="150">
        <v>22</v>
      </c>
      <c r="T83" s="146">
        <f t="shared" si="15"/>
        <v>0</v>
      </c>
      <c r="U83" s="146">
        <f t="shared" si="16"/>
        <v>-6344.099999999999</v>
      </c>
      <c r="V83" s="150">
        <f t="shared" si="13"/>
        <v>122</v>
      </c>
    </row>
    <row r="84" spans="1:22" s="18" customFormat="1" ht="12.75">
      <c r="A84" s="143" t="s">
        <v>260</v>
      </c>
      <c r="B84" s="144">
        <v>42248</v>
      </c>
      <c r="C84" s="145" t="s">
        <v>261</v>
      </c>
      <c r="D84" s="146">
        <v>135.04</v>
      </c>
      <c r="K84" s="144">
        <v>42254</v>
      </c>
      <c r="L84" s="144"/>
      <c r="M84" s="166">
        <f t="shared" si="12"/>
        <v>42261</v>
      </c>
      <c r="N84" s="144">
        <v>42261</v>
      </c>
      <c r="O84" s="153">
        <f t="shared" si="11"/>
        <v>7</v>
      </c>
      <c r="P84" s="153">
        <f t="shared" si="14"/>
        <v>0</v>
      </c>
      <c r="Q84" s="153">
        <f t="shared" si="9"/>
        <v>7</v>
      </c>
      <c r="R84" s="149">
        <f t="shared" si="10"/>
        <v>-23</v>
      </c>
      <c r="S84" s="150">
        <v>29</v>
      </c>
      <c r="T84" s="146">
        <f t="shared" si="15"/>
        <v>0</v>
      </c>
      <c r="U84" s="146">
        <f t="shared" si="16"/>
        <v>-3105.9199999999996</v>
      </c>
      <c r="V84" s="150">
        <f t="shared" si="13"/>
        <v>129</v>
      </c>
    </row>
    <row r="85" spans="1:22" s="18" customFormat="1" ht="12.75">
      <c r="A85" s="143" t="s">
        <v>262</v>
      </c>
      <c r="B85" s="144">
        <v>42237</v>
      </c>
      <c r="C85" s="145" t="s">
        <v>263</v>
      </c>
      <c r="D85" s="146">
        <v>487.79</v>
      </c>
      <c r="K85" s="144">
        <v>42237</v>
      </c>
      <c r="L85" s="144"/>
      <c r="M85" s="166">
        <f t="shared" si="12"/>
        <v>42275</v>
      </c>
      <c r="N85" s="144">
        <v>42275</v>
      </c>
      <c r="O85" s="153">
        <f t="shared" si="11"/>
        <v>38</v>
      </c>
      <c r="P85" s="153">
        <f t="shared" si="14"/>
        <v>0</v>
      </c>
      <c r="Q85" s="153">
        <f t="shared" si="9"/>
        <v>38</v>
      </c>
      <c r="R85" s="149">
        <f t="shared" si="10"/>
        <v>8</v>
      </c>
      <c r="S85" s="150">
        <v>22</v>
      </c>
      <c r="T85" s="146">
        <f t="shared" si="15"/>
        <v>0</v>
      </c>
      <c r="U85" s="146">
        <f t="shared" si="16"/>
        <v>3902.32</v>
      </c>
      <c r="V85" s="150">
        <f t="shared" si="13"/>
        <v>122</v>
      </c>
    </row>
    <row r="86" spans="1:22" s="18" customFormat="1" ht="12.75">
      <c r="A86" s="143" t="s">
        <v>264</v>
      </c>
      <c r="B86" s="144">
        <v>42247</v>
      </c>
      <c r="C86" s="145" t="s">
        <v>265</v>
      </c>
      <c r="D86" s="146">
        <v>435.6</v>
      </c>
      <c r="K86" s="144">
        <v>42263</v>
      </c>
      <c r="L86" s="144"/>
      <c r="M86" s="166">
        <f t="shared" si="12"/>
        <v>42275</v>
      </c>
      <c r="N86" s="144">
        <v>42275</v>
      </c>
      <c r="O86" s="153">
        <f t="shared" si="11"/>
        <v>12</v>
      </c>
      <c r="P86" s="153">
        <f t="shared" si="14"/>
        <v>0</v>
      </c>
      <c r="Q86" s="153">
        <f t="shared" si="9"/>
        <v>12</v>
      </c>
      <c r="R86" s="149">
        <f t="shared" si="10"/>
        <v>-18</v>
      </c>
      <c r="S86" s="150">
        <v>29</v>
      </c>
      <c r="T86" s="146">
        <f t="shared" si="15"/>
        <v>0</v>
      </c>
      <c r="U86" s="146">
        <f t="shared" si="16"/>
        <v>-7840.8</v>
      </c>
      <c r="V86" s="150">
        <f t="shared" si="13"/>
        <v>129</v>
      </c>
    </row>
    <row r="87" spans="1:22" s="18" customFormat="1" ht="12.75">
      <c r="A87" s="143" t="s">
        <v>266</v>
      </c>
      <c r="B87" s="144">
        <v>42240</v>
      </c>
      <c r="C87" s="145" t="s">
        <v>267</v>
      </c>
      <c r="D87" s="146">
        <v>215.8</v>
      </c>
      <c r="K87" s="144">
        <v>42264</v>
      </c>
      <c r="L87" s="144"/>
      <c r="M87" s="166">
        <f t="shared" si="12"/>
        <v>42270</v>
      </c>
      <c r="N87" s="144">
        <v>42270</v>
      </c>
      <c r="O87" s="153">
        <f t="shared" si="11"/>
        <v>6</v>
      </c>
      <c r="P87" s="153">
        <f t="shared" si="14"/>
        <v>0</v>
      </c>
      <c r="Q87" s="153">
        <f t="shared" si="9"/>
        <v>6</v>
      </c>
      <c r="R87" s="149">
        <f t="shared" si="10"/>
        <v>-24</v>
      </c>
      <c r="S87" s="150">
        <v>21</v>
      </c>
      <c r="T87" s="146">
        <f t="shared" si="15"/>
        <v>0</v>
      </c>
      <c r="U87" s="146">
        <f t="shared" si="16"/>
        <v>-5179.200000000001</v>
      </c>
      <c r="V87" s="150">
        <f t="shared" si="13"/>
        <v>121</v>
      </c>
    </row>
    <row r="88" spans="1:22" s="18" customFormat="1" ht="12.75">
      <c r="A88" s="143" t="s">
        <v>268</v>
      </c>
      <c r="B88" s="144">
        <v>42247</v>
      </c>
      <c r="C88" s="145" t="s">
        <v>269</v>
      </c>
      <c r="D88" s="146">
        <v>44.59</v>
      </c>
      <c r="K88" s="144">
        <v>42264</v>
      </c>
      <c r="L88" s="144"/>
      <c r="M88" s="166">
        <f t="shared" si="12"/>
        <v>42277</v>
      </c>
      <c r="N88" s="144">
        <v>42277</v>
      </c>
      <c r="O88" s="153">
        <f t="shared" si="11"/>
        <v>13</v>
      </c>
      <c r="P88" s="153">
        <f t="shared" si="14"/>
        <v>0</v>
      </c>
      <c r="Q88" s="153">
        <f t="shared" si="9"/>
        <v>13</v>
      </c>
      <c r="R88" s="149">
        <f t="shared" si="10"/>
        <v>-17</v>
      </c>
      <c r="S88" s="150">
        <v>22</v>
      </c>
      <c r="T88" s="146">
        <f t="shared" si="15"/>
        <v>0</v>
      </c>
      <c r="U88" s="146">
        <f t="shared" si="16"/>
        <v>-758.0300000000001</v>
      </c>
      <c r="V88" s="150">
        <f t="shared" si="13"/>
        <v>122</v>
      </c>
    </row>
    <row r="89" spans="1:22" s="18" customFormat="1" ht="12.75">
      <c r="A89" s="143" t="s">
        <v>270</v>
      </c>
      <c r="B89" s="144">
        <v>42248</v>
      </c>
      <c r="C89" s="145" t="s">
        <v>271</v>
      </c>
      <c r="D89" s="146">
        <v>-6.48</v>
      </c>
      <c r="K89" s="144">
        <v>42264</v>
      </c>
      <c r="L89" s="144"/>
      <c r="M89" s="166">
        <f t="shared" si="12"/>
        <v>42263</v>
      </c>
      <c r="N89" s="144">
        <v>42263</v>
      </c>
      <c r="O89" s="153">
        <f t="shared" si="11"/>
        <v>-1</v>
      </c>
      <c r="P89" s="153">
        <f t="shared" si="14"/>
        <v>0</v>
      </c>
      <c r="Q89" s="153">
        <f t="shared" si="9"/>
        <v>-1</v>
      </c>
      <c r="R89" s="149">
        <f t="shared" si="10"/>
        <v>-31</v>
      </c>
      <c r="S89" s="150">
        <v>29</v>
      </c>
      <c r="T89" s="146">
        <f t="shared" si="15"/>
        <v>0</v>
      </c>
      <c r="U89" s="146">
        <f t="shared" si="16"/>
        <v>200.88000000000002</v>
      </c>
      <c r="V89" s="150">
        <f t="shared" si="13"/>
        <v>129</v>
      </c>
    </row>
    <row r="90" spans="1:22" s="18" customFormat="1" ht="12.75">
      <c r="A90" s="143" t="s">
        <v>272</v>
      </c>
      <c r="B90" s="144">
        <v>42247</v>
      </c>
      <c r="C90" s="145" t="s">
        <v>285</v>
      </c>
      <c r="D90" s="146">
        <v>238.55</v>
      </c>
      <c r="K90" s="144">
        <v>42264</v>
      </c>
      <c r="L90" s="144"/>
      <c r="M90" s="166">
        <f t="shared" si="12"/>
        <v>42275</v>
      </c>
      <c r="N90" s="144">
        <v>42275</v>
      </c>
      <c r="O90" s="153">
        <f aca="true" t="shared" si="17" ref="O90:O113">+M90-K90</f>
        <v>11</v>
      </c>
      <c r="P90" s="153">
        <f t="shared" si="14"/>
        <v>0</v>
      </c>
      <c r="Q90" s="153">
        <f t="shared" si="9"/>
        <v>11</v>
      </c>
      <c r="R90" s="149">
        <f t="shared" si="10"/>
        <v>-19</v>
      </c>
      <c r="S90" s="150">
        <v>29</v>
      </c>
      <c r="T90" s="146">
        <f t="shared" si="15"/>
        <v>0</v>
      </c>
      <c r="U90" s="146">
        <f t="shared" si="16"/>
        <v>-4532.45</v>
      </c>
      <c r="V90" s="150">
        <f t="shared" si="13"/>
        <v>129</v>
      </c>
    </row>
    <row r="91" spans="1:22" s="18" customFormat="1" ht="12.75">
      <c r="A91" s="143" t="s">
        <v>273</v>
      </c>
      <c r="B91" s="144">
        <v>42247</v>
      </c>
      <c r="C91" s="145" t="s">
        <v>286</v>
      </c>
      <c r="D91" s="146">
        <v>429.55</v>
      </c>
      <c r="K91" s="144">
        <v>42264</v>
      </c>
      <c r="L91" s="144"/>
      <c r="M91" s="166">
        <f t="shared" si="12"/>
        <v>42275</v>
      </c>
      <c r="N91" s="144">
        <v>42275</v>
      </c>
      <c r="O91" s="153">
        <f t="shared" si="17"/>
        <v>11</v>
      </c>
      <c r="P91" s="153">
        <f t="shared" si="14"/>
        <v>0</v>
      </c>
      <c r="Q91" s="153">
        <f aca="true" t="shared" si="18" ref="Q91:Q113">+N91-K91</f>
        <v>11</v>
      </c>
      <c r="R91" s="149">
        <f aca="true" t="shared" si="19" ref="R91:R113">+Q91-30</f>
        <v>-19</v>
      </c>
      <c r="S91" s="150">
        <v>29</v>
      </c>
      <c r="T91" s="146">
        <f t="shared" si="15"/>
        <v>0</v>
      </c>
      <c r="U91" s="146">
        <f t="shared" si="16"/>
        <v>-8161.45</v>
      </c>
      <c r="V91" s="150">
        <f t="shared" si="13"/>
        <v>129</v>
      </c>
    </row>
    <row r="92" spans="1:22" s="18" customFormat="1" ht="12.75">
      <c r="A92" s="143" t="s">
        <v>275</v>
      </c>
      <c r="B92" s="144">
        <v>42247</v>
      </c>
      <c r="C92" s="145" t="s">
        <v>288</v>
      </c>
      <c r="D92" s="146">
        <v>144.42</v>
      </c>
      <c r="K92" s="144">
        <v>42264</v>
      </c>
      <c r="L92" s="144"/>
      <c r="M92" s="166">
        <f t="shared" si="12"/>
        <v>42262</v>
      </c>
      <c r="N92" s="144">
        <v>42262</v>
      </c>
      <c r="O92" s="153">
        <f t="shared" si="17"/>
        <v>-2</v>
      </c>
      <c r="P92" s="153">
        <f t="shared" si="14"/>
        <v>0</v>
      </c>
      <c r="Q92" s="153">
        <f t="shared" si="18"/>
        <v>-2</v>
      </c>
      <c r="R92" s="149">
        <f t="shared" si="19"/>
        <v>-32</v>
      </c>
      <c r="S92" s="150">
        <v>29</v>
      </c>
      <c r="T92" s="146">
        <f t="shared" si="15"/>
        <v>0</v>
      </c>
      <c r="U92" s="146">
        <f t="shared" si="16"/>
        <v>-4621.44</v>
      </c>
      <c r="V92" s="150">
        <f t="shared" si="13"/>
        <v>129</v>
      </c>
    </row>
    <row r="93" spans="1:22" s="18" customFormat="1" ht="12.75">
      <c r="A93" s="143" t="s">
        <v>276</v>
      </c>
      <c r="B93" s="144">
        <v>42213</v>
      </c>
      <c r="C93" s="145" t="s">
        <v>289</v>
      </c>
      <c r="D93" s="146">
        <v>355</v>
      </c>
      <c r="K93" s="144">
        <v>42265</v>
      </c>
      <c r="L93" s="144"/>
      <c r="M93" s="166">
        <f t="shared" si="12"/>
        <v>42241</v>
      </c>
      <c r="N93" s="144">
        <v>42241</v>
      </c>
      <c r="O93" s="153">
        <f t="shared" si="17"/>
        <v>-24</v>
      </c>
      <c r="P93" s="153">
        <f t="shared" si="14"/>
        <v>0</v>
      </c>
      <c r="Q93" s="153">
        <f t="shared" si="18"/>
        <v>-24</v>
      </c>
      <c r="R93" s="149">
        <f t="shared" si="19"/>
        <v>-54</v>
      </c>
      <c r="S93" s="150">
        <v>29</v>
      </c>
      <c r="T93" s="146">
        <f t="shared" si="15"/>
        <v>0</v>
      </c>
      <c r="U93" s="146">
        <f t="shared" si="16"/>
        <v>-19170</v>
      </c>
      <c r="V93" s="150">
        <f t="shared" si="13"/>
        <v>129</v>
      </c>
    </row>
    <row r="94" spans="1:22" s="18" customFormat="1" ht="12.75">
      <c r="A94" s="143" t="s">
        <v>278</v>
      </c>
      <c r="B94" s="144">
        <v>42248</v>
      </c>
      <c r="C94" s="145" t="s">
        <v>291</v>
      </c>
      <c r="D94" s="146">
        <v>898.8</v>
      </c>
      <c r="K94" s="144">
        <v>42265</v>
      </c>
      <c r="L94" s="144"/>
      <c r="M94" s="166">
        <f t="shared" si="12"/>
        <v>42254</v>
      </c>
      <c r="N94" s="144">
        <v>42254</v>
      </c>
      <c r="O94" s="153">
        <f t="shared" si="17"/>
        <v>-11</v>
      </c>
      <c r="P94" s="153">
        <f t="shared" si="14"/>
        <v>0</v>
      </c>
      <c r="Q94" s="153">
        <f t="shared" si="18"/>
        <v>-11</v>
      </c>
      <c r="R94" s="149">
        <f t="shared" si="19"/>
        <v>-41</v>
      </c>
      <c r="S94" s="150">
        <v>20</v>
      </c>
      <c r="T94" s="146">
        <f t="shared" si="15"/>
        <v>0</v>
      </c>
      <c r="U94" s="146">
        <f t="shared" si="16"/>
        <v>-36850.799999999996</v>
      </c>
      <c r="V94" s="150">
        <f t="shared" si="13"/>
        <v>120</v>
      </c>
    </row>
    <row r="95" spans="1:22" s="18" customFormat="1" ht="12.75">
      <c r="A95" s="143" t="s">
        <v>279</v>
      </c>
      <c r="B95" s="144">
        <v>42230</v>
      </c>
      <c r="C95" s="145" t="s">
        <v>292</v>
      </c>
      <c r="D95" s="146">
        <v>302.38</v>
      </c>
      <c r="K95" s="144">
        <v>42265</v>
      </c>
      <c r="L95" s="144"/>
      <c r="M95" s="166">
        <f t="shared" si="12"/>
        <v>42234</v>
      </c>
      <c r="N95" s="144">
        <v>42234</v>
      </c>
      <c r="O95" s="153">
        <f t="shared" si="17"/>
        <v>-31</v>
      </c>
      <c r="P95" s="153">
        <f t="shared" si="14"/>
        <v>0</v>
      </c>
      <c r="Q95" s="153">
        <f t="shared" si="18"/>
        <v>-31</v>
      </c>
      <c r="R95" s="149">
        <f t="shared" si="19"/>
        <v>-61</v>
      </c>
      <c r="S95" s="150">
        <v>29</v>
      </c>
      <c r="T95" s="146">
        <f t="shared" si="15"/>
        <v>0</v>
      </c>
      <c r="U95" s="146">
        <f t="shared" si="16"/>
        <v>-18445.18</v>
      </c>
      <c r="V95" s="150">
        <f t="shared" si="13"/>
        <v>129</v>
      </c>
    </row>
    <row r="96" spans="1:22" s="18" customFormat="1" ht="12.75">
      <c r="A96" s="143" t="s">
        <v>280</v>
      </c>
      <c r="B96" s="144">
        <v>42247</v>
      </c>
      <c r="C96" s="145" t="s">
        <v>293</v>
      </c>
      <c r="D96" s="146">
        <v>1668.35</v>
      </c>
      <c r="K96" s="144">
        <v>42265</v>
      </c>
      <c r="L96" s="144"/>
      <c r="M96" s="166">
        <f t="shared" si="12"/>
        <v>42248</v>
      </c>
      <c r="N96" s="144">
        <v>42248</v>
      </c>
      <c r="O96" s="153">
        <f t="shared" si="17"/>
        <v>-17</v>
      </c>
      <c r="P96" s="153">
        <f t="shared" si="14"/>
        <v>0</v>
      </c>
      <c r="Q96" s="153">
        <f t="shared" si="18"/>
        <v>-17</v>
      </c>
      <c r="R96" s="149">
        <f t="shared" si="19"/>
        <v>-47</v>
      </c>
      <c r="S96" s="150">
        <v>29</v>
      </c>
      <c r="T96" s="146">
        <f t="shared" si="15"/>
        <v>0</v>
      </c>
      <c r="U96" s="146">
        <f t="shared" si="16"/>
        <v>-78412.45</v>
      </c>
      <c r="V96" s="150">
        <f t="shared" si="13"/>
        <v>129</v>
      </c>
    </row>
    <row r="97" spans="1:22" s="18" customFormat="1" ht="12.75">
      <c r="A97" s="143" t="s">
        <v>281</v>
      </c>
      <c r="B97" s="144">
        <v>42247</v>
      </c>
      <c r="C97" s="145" t="s">
        <v>294</v>
      </c>
      <c r="D97" s="146">
        <v>119.1</v>
      </c>
      <c r="K97" s="144">
        <v>42265</v>
      </c>
      <c r="L97" s="144"/>
      <c r="M97" s="166">
        <f t="shared" si="12"/>
        <v>42254</v>
      </c>
      <c r="N97" s="144">
        <v>42254</v>
      </c>
      <c r="O97" s="153">
        <f t="shared" si="17"/>
        <v>-11</v>
      </c>
      <c r="P97" s="153">
        <f t="shared" si="14"/>
        <v>0</v>
      </c>
      <c r="Q97" s="153">
        <f t="shared" si="18"/>
        <v>-11</v>
      </c>
      <c r="R97" s="149">
        <f t="shared" si="19"/>
        <v>-41</v>
      </c>
      <c r="S97" s="150">
        <v>29</v>
      </c>
      <c r="T97" s="146">
        <f t="shared" si="15"/>
        <v>0</v>
      </c>
      <c r="U97" s="146">
        <f t="shared" si="16"/>
        <v>-4883.099999999999</v>
      </c>
      <c r="V97" s="150">
        <f t="shared" si="13"/>
        <v>129</v>
      </c>
    </row>
    <row r="98" spans="1:22" s="18" customFormat="1" ht="12.75">
      <c r="A98" s="143" t="s">
        <v>282</v>
      </c>
      <c r="B98" s="144">
        <v>42240</v>
      </c>
      <c r="C98" s="145" t="s">
        <v>295</v>
      </c>
      <c r="D98" s="146">
        <v>116</v>
      </c>
      <c r="K98" s="144">
        <v>42265</v>
      </c>
      <c r="L98" s="144"/>
      <c r="M98" s="166">
        <f t="shared" si="12"/>
        <v>42277</v>
      </c>
      <c r="N98" s="144">
        <v>42277</v>
      </c>
      <c r="O98" s="153">
        <f t="shared" si="17"/>
        <v>12</v>
      </c>
      <c r="P98" s="153">
        <f t="shared" si="14"/>
        <v>0</v>
      </c>
      <c r="Q98" s="153">
        <f t="shared" si="18"/>
        <v>12</v>
      </c>
      <c r="R98" s="149">
        <f t="shared" si="19"/>
        <v>-18</v>
      </c>
      <c r="S98" s="150">
        <v>29</v>
      </c>
      <c r="T98" s="146">
        <f t="shared" si="15"/>
        <v>0</v>
      </c>
      <c r="U98" s="146">
        <f t="shared" si="16"/>
        <v>-2088</v>
      </c>
      <c r="V98" s="150">
        <f t="shared" si="13"/>
        <v>129</v>
      </c>
    </row>
    <row r="99" spans="1:22" s="18" customFormat="1" ht="12.75">
      <c r="A99" s="143" t="s">
        <v>283</v>
      </c>
      <c r="B99" s="144">
        <v>42262</v>
      </c>
      <c r="C99" s="145" t="s">
        <v>296</v>
      </c>
      <c r="D99" s="146">
        <v>106.6</v>
      </c>
      <c r="K99" s="144">
        <v>42262</v>
      </c>
      <c r="L99" s="144"/>
      <c r="M99" s="166">
        <f t="shared" si="12"/>
        <v>42263</v>
      </c>
      <c r="N99" s="144">
        <v>42263</v>
      </c>
      <c r="O99" s="153">
        <f t="shared" si="17"/>
        <v>1</v>
      </c>
      <c r="P99" s="153">
        <f t="shared" si="14"/>
        <v>0</v>
      </c>
      <c r="Q99" s="153">
        <f t="shared" si="18"/>
        <v>1</v>
      </c>
      <c r="R99" s="149">
        <f t="shared" si="19"/>
        <v>-29</v>
      </c>
      <c r="S99" s="150">
        <v>29</v>
      </c>
      <c r="T99" s="146">
        <f t="shared" si="15"/>
        <v>0</v>
      </c>
      <c r="U99" s="146">
        <f t="shared" si="16"/>
        <v>-3091.3999999999996</v>
      </c>
      <c r="V99" s="150">
        <f t="shared" si="13"/>
        <v>129</v>
      </c>
    </row>
    <row r="100" spans="1:22" s="18" customFormat="1" ht="12.75">
      <c r="A100" s="143" t="s">
        <v>284</v>
      </c>
      <c r="B100" s="144">
        <v>42261</v>
      </c>
      <c r="C100" s="145" t="s">
        <v>297</v>
      </c>
      <c r="D100" s="146">
        <v>268.62</v>
      </c>
      <c r="K100" s="144">
        <v>42268</v>
      </c>
      <c r="L100" s="144"/>
      <c r="M100" s="166">
        <f t="shared" si="12"/>
        <v>42277</v>
      </c>
      <c r="N100" s="144">
        <v>42277</v>
      </c>
      <c r="O100" s="153">
        <f t="shared" si="17"/>
        <v>9</v>
      </c>
      <c r="P100" s="153">
        <f t="shared" si="14"/>
        <v>0</v>
      </c>
      <c r="Q100" s="153">
        <f t="shared" si="18"/>
        <v>9</v>
      </c>
      <c r="R100" s="149">
        <f t="shared" si="19"/>
        <v>-21</v>
      </c>
      <c r="S100" s="150">
        <v>29</v>
      </c>
      <c r="T100" s="146">
        <f t="shared" si="15"/>
        <v>0</v>
      </c>
      <c r="U100" s="146">
        <f t="shared" si="16"/>
        <v>-5641.02</v>
      </c>
      <c r="V100" s="150">
        <f t="shared" si="13"/>
        <v>129</v>
      </c>
    </row>
    <row r="101" spans="1:22" s="18" customFormat="1" ht="12.75">
      <c r="A101" s="143" t="s">
        <v>298</v>
      </c>
      <c r="B101" s="144">
        <v>42261</v>
      </c>
      <c r="C101" s="145" t="s">
        <v>299</v>
      </c>
      <c r="D101" s="146">
        <v>980.1</v>
      </c>
      <c r="K101" s="144">
        <v>42268</v>
      </c>
      <c r="L101" s="144"/>
      <c r="M101" s="166">
        <f t="shared" si="12"/>
        <v>42277</v>
      </c>
      <c r="N101" s="144">
        <v>42277</v>
      </c>
      <c r="O101" s="153">
        <f t="shared" si="17"/>
        <v>9</v>
      </c>
      <c r="P101" s="153">
        <f t="shared" si="14"/>
        <v>0</v>
      </c>
      <c r="Q101" s="153">
        <f t="shared" si="18"/>
        <v>9</v>
      </c>
      <c r="R101" s="149">
        <f t="shared" si="19"/>
        <v>-21</v>
      </c>
      <c r="S101" s="150">
        <v>29</v>
      </c>
      <c r="T101" s="146">
        <f t="shared" si="15"/>
        <v>0</v>
      </c>
      <c r="U101" s="146">
        <f t="shared" si="16"/>
        <v>-20582.100000000002</v>
      </c>
      <c r="V101" s="150">
        <f t="shared" si="13"/>
        <v>129</v>
      </c>
    </row>
    <row r="102" spans="1:22" s="18" customFormat="1" ht="12.75">
      <c r="A102" s="143" t="s">
        <v>300</v>
      </c>
      <c r="B102" s="144">
        <v>42186</v>
      </c>
      <c r="C102" s="145" t="s">
        <v>301</v>
      </c>
      <c r="D102" s="146">
        <v>2750</v>
      </c>
      <c r="K102" s="144">
        <v>42268</v>
      </c>
      <c r="L102" s="144"/>
      <c r="M102" s="166">
        <f t="shared" si="12"/>
        <v>42277</v>
      </c>
      <c r="N102" s="144">
        <v>42277</v>
      </c>
      <c r="O102" s="153">
        <f t="shared" si="17"/>
        <v>9</v>
      </c>
      <c r="P102" s="153">
        <f t="shared" si="14"/>
        <v>0</v>
      </c>
      <c r="Q102" s="153">
        <f t="shared" si="18"/>
        <v>9</v>
      </c>
      <c r="R102" s="149">
        <f t="shared" si="19"/>
        <v>-21</v>
      </c>
      <c r="S102" s="150">
        <v>29</v>
      </c>
      <c r="T102" s="146">
        <f t="shared" si="15"/>
        <v>0</v>
      </c>
      <c r="U102" s="146">
        <f t="shared" si="16"/>
        <v>-57750</v>
      </c>
      <c r="V102" s="150">
        <f t="shared" si="13"/>
        <v>129</v>
      </c>
    </row>
    <row r="103" spans="1:22" s="18" customFormat="1" ht="12.75">
      <c r="A103" s="143" t="s">
        <v>302</v>
      </c>
      <c r="B103" s="144">
        <v>42261</v>
      </c>
      <c r="C103" s="145" t="s">
        <v>303</v>
      </c>
      <c r="D103" s="146">
        <v>851.06</v>
      </c>
      <c r="K103" s="144">
        <v>42268</v>
      </c>
      <c r="L103" s="144"/>
      <c r="M103" s="166">
        <f t="shared" si="12"/>
        <v>42277</v>
      </c>
      <c r="N103" s="144">
        <v>42277</v>
      </c>
      <c r="O103" s="153">
        <f t="shared" si="17"/>
        <v>9</v>
      </c>
      <c r="P103" s="153">
        <f t="shared" si="14"/>
        <v>0</v>
      </c>
      <c r="Q103" s="153">
        <f t="shared" si="18"/>
        <v>9</v>
      </c>
      <c r="R103" s="149">
        <f t="shared" si="19"/>
        <v>-21</v>
      </c>
      <c r="S103" s="150">
        <v>29</v>
      </c>
      <c r="T103" s="146">
        <f t="shared" si="15"/>
        <v>0</v>
      </c>
      <c r="U103" s="146">
        <f t="shared" si="16"/>
        <v>-17872.26</v>
      </c>
      <c r="V103" s="150">
        <f aca="true" t="shared" si="20" ref="V103:V134">IF(P103&gt;30,200+S103,100+S103)</f>
        <v>129</v>
      </c>
    </row>
    <row r="104" spans="1:22" s="18" customFormat="1" ht="12.75">
      <c r="A104" s="143" t="s">
        <v>304</v>
      </c>
      <c r="B104" s="144">
        <v>42261</v>
      </c>
      <c r="C104" s="145" t="s">
        <v>305</v>
      </c>
      <c r="D104" s="146">
        <v>4840</v>
      </c>
      <c r="K104" s="144">
        <v>42268</v>
      </c>
      <c r="L104" s="144"/>
      <c r="M104" s="166">
        <f t="shared" si="12"/>
        <v>42277</v>
      </c>
      <c r="N104" s="144">
        <v>42277</v>
      </c>
      <c r="O104" s="153">
        <f t="shared" si="17"/>
        <v>9</v>
      </c>
      <c r="P104" s="153">
        <f t="shared" si="14"/>
        <v>0</v>
      </c>
      <c r="Q104" s="153">
        <f t="shared" si="18"/>
        <v>9</v>
      </c>
      <c r="R104" s="149">
        <f t="shared" si="19"/>
        <v>-21</v>
      </c>
      <c r="S104" s="150">
        <v>29</v>
      </c>
      <c r="T104" s="146">
        <f aca="true" t="shared" si="21" ref="T104:T135">+P104*D104</f>
        <v>0</v>
      </c>
      <c r="U104" s="146">
        <f aca="true" t="shared" si="22" ref="U104:U135">+R104*D104</f>
        <v>-101640</v>
      </c>
      <c r="V104" s="150">
        <f t="shared" si="20"/>
        <v>129</v>
      </c>
    </row>
    <row r="105" spans="1:22" s="18" customFormat="1" ht="12.75">
      <c r="A105" s="143" t="s">
        <v>306</v>
      </c>
      <c r="B105" s="144">
        <v>42262</v>
      </c>
      <c r="C105" s="145" t="s">
        <v>307</v>
      </c>
      <c r="D105" s="146">
        <v>6993.8</v>
      </c>
      <c r="K105" s="144">
        <v>42268</v>
      </c>
      <c r="L105" s="144"/>
      <c r="M105" s="166">
        <f t="shared" si="12"/>
        <v>42275</v>
      </c>
      <c r="N105" s="144">
        <v>42275</v>
      </c>
      <c r="O105" s="153">
        <f t="shared" si="17"/>
        <v>7</v>
      </c>
      <c r="P105" s="153">
        <f t="shared" si="14"/>
        <v>0</v>
      </c>
      <c r="Q105" s="153">
        <f t="shared" si="18"/>
        <v>7</v>
      </c>
      <c r="R105" s="149">
        <f t="shared" si="19"/>
        <v>-23</v>
      </c>
      <c r="S105" s="150">
        <v>29</v>
      </c>
      <c r="T105" s="146">
        <f t="shared" si="21"/>
        <v>0</v>
      </c>
      <c r="U105" s="146">
        <f t="shared" si="22"/>
        <v>-160857.4</v>
      </c>
      <c r="V105" s="150">
        <f t="shared" si="20"/>
        <v>129</v>
      </c>
    </row>
    <row r="106" spans="1:22" s="18" customFormat="1" ht="12.75">
      <c r="A106" s="143" t="s">
        <v>308</v>
      </c>
      <c r="B106" s="144">
        <v>42215</v>
      </c>
      <c r="C106" s="145" t="s">
        <v>309</v>
      </c>
      <c r="D106" s="146">
        <v>169.4</v>
      </c>
      <c r="K106" s="144">
        <v>42268</v>
      </c>
      <c r="L106" s="144"/>
      <c r="M106" s="166">
        <f t="shared" si="12"/>
        <v>42275</v>
      </c>
      <c r="N106" s="144">
        <v>42275</v>
      </c>
      <c r="O106" s="153">
        <f t="shared" si="17"/>
        <v>7</v>
      </c>
      <c r="P106" s="153">
        <f t="shared" si="14"/>
        <v>0</v>
      </c>
      <c r="Q106" s="153">
        <f t="shared" si="18"/>
        <v>7</v>
      </c>
      <c r="R106" s="149">
        <f t="shared" si="19"/>
        <v>-23</v>
      </c>
      <c r="S106" s="150">
        <v>21</v>
      </c>
      <c r="T106" s="146">
        <f t="shared" si="21"/>
        <v>0</v>
      </c>
      <c r="U106" s="146">
        <f t="shared" si="22"/>
        <v>-3896.2000000000003</v>
      </c>
      <c r="V106" s="150">
        <f t="shared" si="20"/>
        <v>121</v>
      </c>
    </row>
    <row r="107" spans="1:22" s="18" customFormat="1" ht="12.75">
      <c r="A107" s="143" t="s">
        <v>310</v>
      </c>
      <c r="B107" s="144">
        <v>42209</v>
      </c>
      <c r="C107" s="145" t="s">
        <v>311</v>
      </c>
      <c r="D107" s="146">
        <v>163.75</v>
      </c>
      <c r="K107" s="144">
        <v>42268</v>
      </c>
      <c r="L107" s="144"/>
      <c r="M107" s="166">
        <f t="shared" si="12"/>
        <v>42275</v>
      </c>
      <c r="N107" s="144">
        <v>42275</v>
      </c>
      <c r="O107" s="153">
        <f t="shared" si="17"/>
        <v>7</v>
      </c>
      <c r="P107" s="153">
        <f t="shared" si="14"/>
        <v>0</v>
      </c>
      <c r="Q107" s="153">
        <f t="shared" si="18"/>
        <v>7</v>
      </c>
      <c r="R107" s="149">
        <f t="shared" si="19"/>
        <v>-23</v>
      </c>
      <c r="S107" s="150">
        <v>21</v>
      </c>
      <c r="T107" s="146">
        <f t="shared" si="21"/>
        <v>0</v>
      </c>
      <c r="U107" s="146">
        <f t="shared" si="22"/>
        <v>-3766.25</v>
      </c>
      <c r="V107" s="150">
        <f t="shared" si="20"/>
        <v>121</v>
      </c>
    </row>
    <row r="108" spans="1:22" s="18" customFormat="1" ht="12.75">
      <c r="A108" s="143" t="s">
        <v>312</v>
      </c>
      <c r="B108" s="144">
        <v>42242</v>
      </c>
      <c r="C108" s="145" t="s">
        <v>313</v>
      </c>
      <c r="D108" s="146">
        <v>718.22</v>
      </c>
      <c r="K108" s="144">
        <v>42268</v>
      </c>
      <c r="L108" s="144"/>
      <c r="M108" s="166">
        <f t="shared" si="12"/>
        <v>42276</v>
      </c>
      <c r="N108" s="144">
        <v>42276</v>
      </c>
      <c r="O108" s="153">
        <f t="shared" si="17"/>
        <v>8</v>
      </c>
      <c r="P108" s="153">
        <f t="shared" si="14"/>
        <v>0</v>
      </c>
      <c r="Q108" s="153">
        <f t="shared" si="18"/>
        <v>8</v>
      </c>
      <c r="R108" s="149">
        <f t="shared" si="19"/>
        <v>-22</v>
      </c>
      <c r="S108" s="150">
        <v>21</v>
      </c>
      <c r="T108" s="146">
        <f t="shared" si="21"/>
        <v>0</v>
      </c>
      <c r="U108" s="146">
        <f t="shared" si="22"/>
        <v>-15800.84</v>
      </c>
      <c r="V108" s="150">
        <f t="shared" si="20"/>
        <v>121</v>
      </c>
    </row>
    <row r="109" spans="1:22" s="18" customFormat="1" ht="12.75">
      <c r="A109" s="143" t="s">
        <v>314</v>
      </c>
      <c r="B109" s="144">
        <v>42195</v>
      </c>
      <c r="C109" s="145" t="s">
        <v>315</v>
      </c>
      <c r="D109" s="146">
        <v>30000</v>
      </c>
      <c r="K109" s="144">
        <v>42195</v>
      </c>
      <c r="L109" s="144"/>
      <c r="M109" s="166">
        <f t="shared" si="12"/>
        <v>42202</v>
      </c>
      <c r="N109" s="144">
        <v>42202</v>
      </c>
      <c r="O109" s="153">
        <f t="shared" si="17"/>
        <v>7</v>
      </c>
      <c r="P109" s="153">
        <f t="shared" si="14"/>
        <v>0</v>
      </c>
      <c r="Q109" s="153">
        <f t="shared" si="18"/>
        <v>7</v>
      </c>
      <c r="R109" s="149">
        <f t="shared" si="19"/>
        <v>-23</v>
      </c>
      <c r="S109" s="150">
        <v>29</v>
      </c>
      <c r="T109" s="146">
        <f t="shared" si="21"/>
        <v>0</v>
      </c>
      <c r="U109" s="146">
        <f t="shared" si="22"/>
        <v>-690000</v>
      </c>
      <c r="V109" s="150">
        <f t="shared" si="20"/>
        <v>129</v>
      </c>
    </row>
    <row r="110" spans="1:22" s="18" customFormat="1" ht="12.75">
      <c r="A110" s="143" t="s">
        <v>316</v>
      </c>
      <c r="B110" s="144">
        <v>42235</v>
      </c>
      <c r="C110" s="145" t="s">
        <v>317</v>
      </c>
      <c r="D110" s="146">
        <v>63.31</v>
      </c>
      <c r="K110" s="144">
        <v>42268</v>
      </c>
      <c r="L110" s="144"/>
      <c r="M110" s="166">
        <f t="shared" si="12"/>
        <v>42235</v>
      </c>
      <c r="N110" s="144">
        <v>42235</v>
      </c>
      <c r="O110" s="153">
        <f t="shared" si="17"/>
        <v>-33</v>
      </c>
      <c r="P110" s="153">
        <f t="shared" si="14"/>
        <v>0</v>
      </c>
      <c r="Q110" s="153">
        <f t="shared" si="18"/>
        <v>-33</v>
      </c>
      <c r="R110" s="149">
        <f t="shared" si="19"/>
        <v>-63</v>
      </c>
      <c r="S110" s="150">
        <v>29</v>
      </c>
      <c r="T110" s="146">
        <f t="shared" si="21"/>
        <v>0</v>
      </c>
      <c r="U110" s="146">
        <f t="shared" si="22"/>
        <v>-3988.53</v>
      </c>
      <c r="V110" s="150">
        <f t="shared" si="20"/>
        <v>129</v>
      </c>
    </row>
    <row r="111" spans="1:22" s="18" customFormat="1" ht="12.75">
      <c r="A111" s="143" t="s">
        <v>318</v>
      </c>
      <c r="B111" s="144">
        <v>42198</v>
      </c>
      <c r="C111" s="145" t="s">
        <v>319</v>
      </c>
      <c r="D111" s="146">
        <v>62.92</v>
      </c>
      <c r="K111" s="144">
        <v>42268</v>
      </c>
      <c r="L111" s="144"/>
      <c r="M111" s="166">
        <f t="shared" si="12"/>
        <v>42201</v>
      </c>
      <c r="N111" s="144">
        <v>42201</v>
      </c>
      <c r="O111" s="153">
        <f t="shared" si="17"/>
        <v>-67</v>
      </c>
      <c r="P111" s="153">
        <f t="shared" si="14"/>
        <v>0</v>
      </c>
      <c r="Q111" s="153">
        <f t="shared" si="18"/>
        <v>-67</v>
      </c>
      <c r="R111" s="149">
        <f t="shared" si="19"/>
        <v>-97</v>
      </c>
      <c r="S111" s="150">
        <v>21</v>
      </c>
      <c r="T111" s="146">
        <f t="shared" si="21"/>
        <v>0</v>
      </c>
      <c r="U111" s="146">
        <f t="shared" si="22"/>
        <v>-6103.24</v>
      </c>
      <c r="V111" s="150">
        <f t="shared" si="20"/>
        <v>121</v>
      </c>
    </row>
    <row r="112" spans="1:22" s="18" customFormat="1" ht="12.75">
      <c r="A112" s="143" t="s">
        <v>320</v>
      </c>
      <c r="B112" s="144">
        <v>42247</v>
      </c>
      <c r="C112" s="145" t="s">
        <v>321</v>
      </c>
      <c r="D112" s="146">
        <v>107.69</v>
      </c>
      <c r="K112" s="144">
        <v>42268</v>
      </c>
      <c r="L112" s="144"/>
      <c r="M112" s="166">
        <f t="shared" si="12"/>
        <v>42275</v>
      </c>
      <c r="N112" s="144">
        <v>42275</v>
      </c>
      <c r="O112" s="153">
        <f t="shared" si="17"/>
        <v>7</v>
      </c>
      <c r="P112" s="153">
        <f t="shared" si="14"/>
        <v>0</v>
      </c>
      <c r="Q112" s="153">
        <f t="shared" si="18"/>
        <v>7</v>
      </c>
      <c r="R112" s="149">
        <f t="shared" si="19"/>
        <v>-23</v>
      </c>
      <c r="S112" s="150">
        <v>21</v>
      </c>
      <c r="T112" s="146">
        <f t="shared" si="21"/>
        <v>0</v>
      </c>
      <c r="U112" s="146">
        <f t="shared" si="22"/>
        <v>-2476.87</v>
      </c>
      <c r="V112" s="150">
        <f t="shared" si="20"/>
        <v>121</v>
      </c>
    </row>
    <row r="113" spans="1:22" s="18" customFormat="1" ht="12.75">
      <c r="A113" s="143" t="s">
        <v>322</v>
      </c>
      <c r="B113" s="144">
        <v>42262</v>
      </c>
      <c r="C113" s="145" t="s">
        <v>323</v>
      </c>
      <c r="D113" s="146">
        <v>392.09</v>
      </c>
      <c r="K113" s="144">
        <v>42268</v>
      </c>
      <c r="L113" s="144"/>
      <c r="M113" s="166">
        <f t="shared" si="12"/>
        <v>42275</v>
      </c>
      <c r="N113" s="144">
        <v>42275</v>
      </c>
      <c r="O113" s="153">
        <f t="shared" si="17"/>
        <v>7</v>
      </c>
      <c r="P113" s="153">
        <f t="shared" si="14"/>
        <v>0</v>
      </c>
      <c r="Q113" s="153">
        <f t="shared" si="18"/>
        <v>7</v>
      </c>
      <c r="R113" s="149">
        <f t="shared" si="19"/>
        <v>-23</v>
      </c>
      <c r="S113" s="150">
        <v>29</v>
      </c>
      <c r="T113" s="146">
        <f t="shared" si="21"/>
        <v>0</v>
      </c>
      <c r="U113" s="146">
        <f t="shared" si="22"/>
        <v>-9018.07</v>
      </c>
      <c r="V113" s="150">
        <f t="shared" si="20"/>
        <v>129</v>
      </c>
    </row>
    <row r="114" spans="1:22" s="18" customFormat="1" ht="12.75">
      <c r="A114" s="143" t="s">
        <v>324</v>
      </c>
      <c r="B114" s="144">
        <v>42216</v>
      </c>
      <c r="C114" s="145" t="s">
        <v>325</v>
      </c>
      <c r="D114" s="146">
        <v>-65.65</v>
      </c>
      <c r="K114" s="144">
        <v>42268</v>
      </c>
      <c r="L114" s="144"/>
      <c r="M114" s="248" t="s">
        <v>377</v>
      </c>
      <c r="N114" s="248"/>
      <c r="O114" s="153"/>
      <c r="P114" s="153"/>
      <c r="Q114" s="153"/>
      <c r="R114" s="149"/>
      <c r="S114" s="150">
        <v>29</v>
      </c>
      <c r="T114" s="146">
        <f t="shared" si="21"/>
        <v>0</v>
      </c>
      <c r="U114" s="146">
        <f t="shared" si="22"/>
        <v>0</v>
      </c>
      <c r="V114" s="150">
        <f t="shared" si="20"/>
        <v>129</v>
      </c>
    </row>
    <row r="115" spans="1:22" s="18" customFormat="1" ht="12.75">
      <c r="A115" s="143" t="s">
        <v>326</v>
      </c>
      <c r="B115" s="144">
        <v>42217</v>
      </c>
      <c r="C115" s="145" t="s">
        <v>327</v>
      </c>
      <c r="D115" s="146">
        <v>256.62</v>
      </c>
      <c r="K115" s="144">
        <v>42268</v>
      </c>
      <c r="L115" s="144"/>
      <c r="M115" s="166">
        <f aca="true" t="shared" si="23" ref="M115:M133">+N115</f>
        <v>42219</v>
      </c>
      <c r="N115" s="144">
        <v>42219</v>
      </c>
      <c r="O115" s="153">
        <f aca="true" t="shared" si="24" ref="O115:O152">+M115-K115</f>
        <v>-49</v>
      </c>
      <c r="P115" s="153">
        <f aca="true" t="shared" si="25" ref="P115:P152">+N115-M115</f>
        <v>0</v>
      </c>
      <c r="Q115" s="153">
        <f aca="true" t="shared" si="26" ref="Q115:Q151">+N115-K115</f>
        <v>-49</v>
      </c>
      <c r="R115" s="149">
        <f aca="true" t="shared" si="27" ref="R115:R152">+Q115-30</f>
        <v>-79</v>
      </c>
      <c r="S115" s="150">
        <v>29</v>
      </c>
      <c r="T115" s="146">
        <f t="shared" si="21"/>
        <v>0</v>
      </c>
      <c r="U115" s="146">
        <f t="shared" si="22"/>
        <v>-20272.98</v>
      </c>
      <c r="V115" s="150">
        <f t="shared" si="20"/>
        <v>129</v>
      </c>
    </row>
    <row r="116" spans="1:22" s="18" customFormat="1" ht="12.75">
      <c r="A116" s="143" t="s">
        <v>328</v>
      </c>
      <c r="B116" s="144">
        <v>42229</v>
      </c>
      <c r="C116" s="145" t="s">
        <v>329</v>
      </c>
      <c r="D116" s="146">
        <v>359.09</v>
      </c>
      <c r="K116" s="144">
        <v>42269</v>
      </c>
      <c r="L116" s="144"/>
      <c r="M116" s="166">
        <f t="shared" si="23"/>
        <v>42233</v>
      </c>
      <c r="N116" s="144">
        <v>42233</v>
      </c>
      <c r="O116" s="153">
        <f t="shared" si="24"/>
        <v>-36</v>
      </c>
      <c r="P116" s="153">
        <f t="shared" si="25"/>
        <v>0</v>
      </c>
      <c r="Q116" s="153">
        <f t="shared" si="26"/>
        <v>-36</v>
      </c>
      <c r="R116" s="149">
        <f t="shared" si="27"/>
        <v>-66</v>
      </c>
      <c r="S116" s="149">
        <v>29</v>
      </c>
      <c r="T116" s="146">
        <f t="shared" si="21"/>
        <v>0</v>
      </c>
      <c r="U116" s="146">
        <f t="shared" si="22"/>
        <v>-23699.94</v>
      </c>
      <c r="V116" s="150">
        <f t="shared" si="20"/>
        <v>129</v>
      </c>
    </row>
    <row r="117" spans="1:22" s="18" customFormat="1" ht="12.75">
      <c r="A117" s="143" t="s">
        <v>330</v>
      </c>
      <c r="B117" s="144">
        <v>42248</v>
      </c>
      <c r="C117" s="145" t="s">
        <v>331</v>
      </c>
      <c r="D117" s="146">
        <v>50.22</v>
      </c>
      <c r="K117" s="144">
        <v>42269</v>
      </c>
      <c r="L117" s="144"/>
      <c r="M117" s="166">
        <f t="shared" si="23"/>
        <v>42248</v>
      </c>
      <c r="N117" s="144">
        <v>42248</v>
      </c>
      <c r="O117" s="153">
        <f t="shared" si="24"/>
        <v>-21</v>
      </c>
      <c r="P117" s="153">
        <f t="shared" si="25"/>
        <v>0</v>
      </c>
      <c r="Q117" s="153">
        <f t="shared" si="26"/>
        <v>-21</v>
      </c>
      <c r="R117" s="149">
        <f t="shared" si="27"/>
        <v>-51</v>
      </c>
      <c r="S117" s="150">
        <v>21</v>
      </c>
      <c r="T117" s="146">
        <f t="shared" si="21"/>
        <v>0</v>
      </c>
      <c r="U117" s="146">
        <f t="shared" si="22"/>
        <v>-2561.22</v>
      </c>
      <c r="V117" s="150">
        <f t="shared" si="20"/>
        <v>121</v>
      </c>
    </row>
    <row r="118" spans="1:22" s="18" customFormat="1" ht="12.75">
      <c r="A118" s="143" t="s">
        <v>332</v>
      </c>
      <c r="B118" s="144">
        <v>42217</v>
      </c>
      <c r="C118" s="145" t="s">
        <v>333</v>
      </c>
      <c r="D118" s="146">
        <v>50.22</v>
      </c>
      <c r="K118" s="144">
        <v>42269</v>
      </c>
      <c r="L118" s="144"/>
      <c r="M118" s="166">
        <f t="shared" si="23"/>
        <v>42219</v>
      </c>
      <c r="N118" s="144">
        <v>42219</v>
      </c>
      <c r="O118" s="153">
        <f t="shared" si="24"/>
        <v>-50</v>
      </c>
      <c r="P118" s="153">
        <f t="shared" si="25"/>
        <v>0</v>
      </c>
      <c r="Q118" s="153">
        <f t="shared" si="26"/>
        <v>-50</v>
      </c>
      <c r="R118" s="149">
        <f t="shared" si="27"/>
        <v>-80</v>
      </c>
      <c r="S118" s="150">
        <v>21</v>
      </c>
      <c r="T118" s="146">
        <f t="shared" si="21"/>
        <v>0</v>
      </c>
      <c r="U118" s="146">
        <f t="shared" si="22"/>
        <v>-4017.6</v>
      </c>
      <c r="V118" s="150">
        <f t="shared" si="20"/>
        <v>121</v>
      </c>
    </row>
    <row r="119" spans="1:22" s="18" customFormat="1" ht="12.75">
      <c r="A119" s="143" t="s">
        <v>334</v>
      </c>
      <c r="B119" s="144">
        <v>42199</v>
      </c>
      <c r="C119" s="145" t="s">
        <v>335</v>
      </c>
      <c r="D119" s="146">
        <v>433.95</v>
      </c>
      <c r="K119" s="144">
        <v>42269</v>
      </c>
      <c r="L119" s="144"/>
      <c r="M119" s="166">
        <f t="shared" si="23"/>
        <v>42201</v>
      </c>
      <c r="N119" s="144">
        <v>42201</v>
      </c>
      <c r="O119" s="153">
        <f t="shared" si="24"/>
        <v>-68</v>
      </c>
      <c r="P119" s="153">
        <f t="shared" si="25"/>
        <v>0</v>
      </c>
      <c r="Q119" s="153">
        <f t="shared" si="26"/>
        <v>-68</v>
      </c>
      <c r="R119" s="149">
        <f t="shared" si="27"/>
        <v>-98</v>
      </c>
      <c r="S119" s="150">
        <v>29</v>
      </c>
      <c r="T119" s="146">
        <f t="shared" si="21"/>
        <v>0</v>
      </c>
      <c r="U119" s="146">
        <f t="shared" si="22"/>
        <v>-42527.1</v>
      </c>
      <c r="V119" s="150">
        <f t="shared" si="20"/>
        <v>129</v>
      </c>
    </row>
    <row r="120" spans="1:22" s="18" customFormat="1" ht="12.75">
      <c r="A120" s="143" t="s">
        <v>336</v>
      </c>
      <c r="B120" s="144">
        <v>42228</v>
      </c>
      <c r="C120" s="145" t="s">
        <v>337</v>
      </c>
      <c r="D120" s="146">
        <v>359.76</v>
      </c>
      <c r="K120" s="144">
        <v>42269</v>
      </c>
      <c r="L120" s="144"/>
      <c r="M120" s="166">
        <f t="shared" si="23"/>
        <v>42230</v>
      </c>
      <c r="N120" s="144">
        <v>42230</v>
      </c>
      <c r="O120" s="153">
        <f t="shared" si="24"/>
        <v>-39</v>
      </c>
      <c r="P120" s="153">
        <f t="shared" si="25"/>
        <v>0</v>
      </c>
      <c r="Q120" s="153">
        <f t="shared" si="26"/>
        <v>-39</v>
      </c>
      <c r="R120" s="149">
        <f t="shared" si="27"/>
        <v>-69</v>
      </c>
      <c r="S120" s="150">
        <v>29</v>
      </c>
      <c r="T120" s="146">
        <f t="shared" si="21"/>
        <v>0</v>
      </c>
      <c r="U120" s="146">
        <f t="shared" si="22"/>
        <v>-24823.44</v>
      </c>
      <c r="V120" s="150">
        <f t="shared" si="20"/>
        <v>129</v>
      </c>
    </row>
    <row r="121" spans="1:22" s="18" customFormat="1" ht="12.75">
      <c r="A121" s="143" t="s">
        <v>338</v>
      </c>
      <c r="B121" s="144">
        <v>42247</v>
      </c>
      <c r="C121" s="145" t="s">
        <v>339</v>
      </c>
      <c r="D121" s="146">
        <v>50.23</v>
      </c>
      <c r="K121" s="144">
        <v>42270</v>
      </c>
      <c r="L121" s="144"/>
      <c r="M121" s="166">
        <f t="shared" si="23"/>
        <v>42277</v>
      </c>
      <c r="N121" s="144">
        <v>42277</v>
      </c>
      <c r="O121" s="153">
        <f t="shared" si="24"/>
        <v>7</v>
      </c>
      <c r="P121" s="153">
        <f t="shared" si="25"/>
        <v>0</v>
      </c>
      <c r="Q121" s="153">
        <f t="shared" si="26"/>
        <v>7</v>
      </c>
      <c r="R121" s="149">
        <f t="shared" si="27"/>
        <v>-23</v>
      </c>
      <c r="S121" s="150">
        <v>22</v>
      </c>
      <c r="T121" s="146">
        <f t="shared" si="21"/>
        <v>0</v>
      </c>
      <c r="U121" s="146">
        <f t="shared" si="22"/>
        <v>-1155.29</v>
      </c>
      <c r="V121" s="150">
        <f t="shared" si="20"/>
        <v>122</v>
      </c>
    </row>
    <row r="122" spans="1:22" s="18" customFormat="1" ht="12.75">
      <c r="A122" s="143" t="s">
        <v>340</v>
      </c>
      <c r="B122" s="144">
        <v>42205</v>
      </c>
      <c r="C122" s="145" t="s">
        <v>341</v>
      </c>
      <c r="D122" s="146">
        <v>489.76</v>
      </c>
      <c r="K122" s="144">
        <v>42270</v>
      </c>
      <c r="L122" s="144"/>
      <c r="M122" s="166">
        <f t="shared" si="23"/>
        <v>42202</v>
      </c>
      <c r="N122" s="144">
        <v>42202</v>
      </c>
      <c r="O122" s="153">
        <f t="shared" si="24"/>
        <v>-68</v>
      </c>
      <c r="P122" s="153">
        <f t="shared" si="25"/>
        <v>0</v>
      </c>
      <c r="Q122" s="153">
        <f t="shared" si="26"/>
        <v>-68</v>
      </c>
      <c r="R122" s="149">
        <f t="shared" si="27"/>
        <v>-98</v>
      </c>
      <c r="S122" s="150">
        <v>69</v>
      </c>
      <c r="T122" s="146">
        <f t="shared" si="21"/>
        <v>0</v>
      </c>
      <c r="U122" s="146">
        <f t="shared" si="22"/>
        <v>-47996.479999999996</v>
      </c>
      <c r="V122" s="150">
        <f t="shared" si="20"/>
        <v>169</v>
      </c>
    </row>
    <row r="123" spans="1:22" s="18" customFormat="1" ht="12.75">
      <c r="A123" s="143" t="s">
        <v>342</v>
      </c>
      <c r="B123" s="144">
        <v>42205</v>
      </c>
      <c r="C123" s="145" t="s">
        <v>343</v>
      </c>
      <c r="D123" s="146">
        <v>489.76</v>
      </c>
      <c r="K123" s="144">
        <v>42270</v>
      </c>
      <c r="L123" s="144"/>
      <c r="M123" s="166">
        <f t="shared" si="23"/>
        <v>42202</v>
      </c>
      <c r="N123" s="144">
        <v>42202</v>
      </c>
      <c r="O123" s="153">
        <f t="shared" si="24"/>
        <v>-68</v>
      </c>
      <c r="P123" s="153">
        <f t="shared" si="25"/>
        <v>0</v>
      </c>
      <c r="Q123" s="153">
        <f t="shared" si="26"/>
        <v>-68</v>
      </c>
      <c r="R123" s="149">
        <f t="shared" si="27"/>
        <v>-98</v>
      </c>
      <c r="S123" s="150">
        <v>69</v>
      </c>
      <c r="T123" s="146">
        <f t="shared" si="21"/>
        <v>0</v>
      </c>
      <c r="U123" s="146">
        <f t="shared" si="22"/>
        <v>-47996.479999999996</v>
      </c>
      <c r="V123" s="150">
        <f t="shared" si="20"/>
        <v>169</v>
      </c>
    </row>
    <row r="124" spans="1:22" s="18" customFormat="1" ht="12.75">
      <c r="A124" s="143" t="s">
        <v>344</v>
      </c>
      <c r="B124" s="144">
        <v>42205</v>
      </c>
      <c r="C124" s="145" t="s">
        <v>345</v>
      </c>
      <c r="D124" s="146">
        <v>279.95</v>
      </c>
      <c r="K124" s="144">
        <v>42270</v>
      </c>
      <c r="L124" s="144"/>
      <c r="M124" s="166">
        <f t="shared" si="23"/>
        <v>42202</v>
      </c>
      <c r="N124" s="144">
        <v>42202</v>
      </c>
      <c r="O124" s="153">
        <f t="shared" si="24"/>
        <v>-68</v>
      </c>
      <c r="P124" s="153">
        <f t="shared" si="25"/>
        <v>0</v>
      </c>
      <c r="Q124" s="153">
        <f t="shared" si="26"/>
        <v>-68</v>
      </c>
      <c r="R124" s="149">
        <f t="shared" si="27"/>
        <v>-98</v>
      </c>
      <c r="S124" s="150">
        <v>69</v>
      </c>
      <c r="T124" s="146">
        <f t="shared" si="21"/>
        <v>0</v>
      </c>
      <c r="U124" s="146">
        <f t="shared" si="22"/>
        <v>-27435.1</v>
      </c>
      <c r="V124" s="150">
        <f t="shared" si="20"/>
        <v>169</v>
      </c>
    </row>
    <row r="125" spans="1:22" s="18" customFormat="1" ht="12.75">
      <c r="A125" s="143" t="s">
        <v>346</v>
      </c>
      <c r="B125" s="144">
        <v>42249</v>
      </c>
      <c r="C125" s="145" t="s">
        <v>347</v>
      </c>
      <c r="D125" s="146">
        <v>494.75</v>
      </c>
      <c r="K125" s="144">
        <v>42270</v>
      </c>
      <c r="L125" s="144"/>
      <c r="M125" s="166">
        <f t="shared" si="23"/>
        <v>42248</v>
      </c>
      <c r="N125" s="144">
        <v>42248</v>
      </c>
      <c r="O125" s="153">
        <f t="shared" si="24"/>
        <v>-22</v>
      </c>
      <c r="P125" s="153">
        <f t="shared" si="25"/>
        <v>0</v>
      </c>
      <c r="Q125" s="153">
        <f t="shared" si="26"/>
        <v>-22</v>
      </c>
      <c r="R125" s="149">
        <f t="shared" si="27"/>
        <v>-52</v>
      </c>
      <c r="S125" s="150">
        <v>69</v>
      </c>
      <c r="T125" s="146">
        <f t="shared" si="21"/>
        <v>0</v>
      </c>
      <c r="U125" s="146">
        <f t="shared" si="22"/>
        <v>-25727</v>
      </c>
      <c r="V125" s="150">
        <f t="shared" si="20"/>
        <v>169</v>
      </c>
    </row>
    <row r="126" spans="1:22" s="18" customFormat="1" ht="12.75">
      <c r="A126" s="143" t="s">
        <v>348</v>
      </c>
      <c r="B126" s="144">
        <v>42262</v>
      </c>
      <c r="C126" s="145" t="s">
        <v>349</v>
      </c>
      <c r="D126" s="146">
        <v>48.4</v>
      </c>
      <c r="K126" s="144">
        <v>42270</v>
      </c>
      <c r="L126" s="144"/>
      <c r="M126" s="166">
        <f t="shared" si="23"/>
        <v>42271</v>
      </c>
      <c r="N126" s="144">
        <v>42271</v>
      </c>
      <c r="O126" s="153">
        <f t="shared" si="24"/>
        <v>1</v>
      </c>
      <c r="P126" s="153">
        <f t="shared" si="25"/>
        <v>0</v>
      </c>
      <c r="Q126" s="153">
        <f t="shared" si="26"/>
        <v>1</v>
      </c>
      <c r="R126" s="149">
        <f t="shared" si="27"/>
        <v>-29</v>
      </c>
      <c r="S126" s="150">
        <v>21</v>
      </c>
      <c r="T126" s="146">
        <f t="shared" si="21"/>
        <v>0</v>
      </c>
      <c r="U126" s="146">
        <f t="shared" si="22"/>
        <v>-1403.6</v>
      </c>
      <c r="V126" s="150">
        <f t="shared" si="20"/>
        <v>121</v>
      </c>
    </row>
    <row r="127" spans="1:22" s="18" customFormat="1" ht="12.75">
      <c r="A127" s="143" t="s">
        <v>350</v>
      </c>
      <c r="B127" s="144">
        <v>42231</v>
      </c>
      <c r="C127" s="145" t="s">
        <v>351</v>
      </c>
      <c r="D127" s="146">
        <v>48.4</v>
      </c>
      <c r="K127" s="144">
        <v>42270</v>
      </c>
      <c r="L127" s="144"/>
      <c r="M127" s="166">
        <f t="shared" si="23"/>
        <v>42244</v>
      </c>
      <c r="N127" s="144">
        <v>42244</v>
      </c>
      <c r="O127" s="153">
        <f t="shared" si="24"/>
        <v>-26</v>
      </c>
      <c r="P127" s="153">
        <f t="shared" si="25"/>
        <v>0</v>
      </c>
      <c r="Q127" s="153">
        <f t="shared" si="26"/>
        <v>-26</v>
      </c>
      <c r="R127" s="149">
        <f t="shared" si="27"/>
        <v>-56</v>
      </c>
      <c r="S127" s="150">
        <v>21</v>
      </c>
      <c r="T127" s="146">
        <f t="shared" si="21"/>
        <v>0</v>
      </c>
      <c r="U127" s="146">
        <f t="shared" si="22"/>
        <v>-2710.4</v>
      </c>
      <c r="V127" s="150">
        <f t="shared" si="20"/>
        <v>121</v>
      </c>
    </row>
    <row r="128" spans="1:22" s="18" customFormat="1" ht="12.75">
      <c r="A128" s="143" t="s">
        <v>352</v>
      </c>
      <c r="B128" s="144">
        <v>42200</v>
      </c>
      <c r="C128" s="145" t="s">
        <v>353</v>
      </c>
      <c r="D128" s="146">
        <v>48.4</v>
      </c>
      <c r="K128" s="144">
        <v>42270</v>
      </c>
      <c r="L128" s="144"/>
      <c r="M128" s="166">
        <f t="shared" si="23"/>
        <v>42213</v>
      </c>
      <c r="N128" s="144">
        <v>42213</v>
      </c>
      <c r="O128" s="153">
        <f t="shared" si="24"/>
        <v>-57</v>
      </c>
      <c r="P128" s="153">
        <f t="shared" si="25"/>
        <v>0</v>
      </c>
      <c r="Q128" s="153">
        <f t="shared" si="26"/>
        <v>-57</v>
      </c>
      <c r="R128" s="149">
        <f t="shared" si="27"/>
        <v>-87</v>
      </c>
      <c r="S128" s="150">
        <v>21</v>
      </c>
      <c r="T128" s="146">
        <f t="shared" si="21"/>
        <v>0</v>
      </c>
      <c r="U128" s="146">
        <f t="shared" si="22"/>
        <v>-4210.8</v>
      </c>
      <c r="V128" s="150">
        <f t="shared" si="20"/>
        <v>121</v>
      </c>
    </row>
    <row r="129" spans="1:22" s="18" customFormat="1" ht="12.75">
      <c r="A129" s="143" t="s">
        <v>354</v>
      </c>
      <c r="B129" s="144">
        <v>42220</v>
      </c>
      <c r="C129" s="145" t="s">
        <v>364</v>
      </c>
      <c r="D129" s="146">
        <v>6.05</v>
      </c>
      <c r="K129" s="144">
        <v>42270</v>
      </c>
      <c r="L129" s="144"/>
      <c r="M129" s="166">
        <f t="shared" si="23"/>
        <v>42223</v>
      </c>
      <c r="N129" s="144">
        <v>42223</v>
      </c>
      <c r="O129" s="153">
        <f t="shared" si="24"/>
        <v>-47</v>
      </c>
      <c r="P129" s="153">
        <f t="shared" si="25"/>
        <v>0</v>
      </c>
      <c r="Q129" s="153">
        <f t="shared" si="26"/>
        <v>-47</v>
      </c>
      <c r="R129" s="149">
        <f t="shared" si="27"/>
        <v>-77</v>
      </c>
      <c r="S129" s="150">
        <v>29</v>
      </c>
      <c r="T129" s="146">
        <f t="shared" si="21"/>
        <v>0</v>
      </c>
      <c r="U129" s="146">
        <f t="shared" si="22"/>
        <v>-465.84999999999997</v>
      </c>
      <c r="V129" s="150">
        <f t="shared" si="20"/>
        <v>129</v>
      </c>
    </row>
    <row r="130" spans="1:22" s="18" customFormat="1" ht="12.75">
      <c r="A130" s="143" t="s">
        <v>355</v>
      </c>
      <c r="B130" s="144">
        <v>42220</v>
      </c>
      <c r="C130" s="145" t="s">
        <v>365</v>
      </c>
      <c r="D130" s="146">
        <v>75.07</v>
      </c>
      <c r="K130" s="144">
        <v>42270</v>
      </c>
      <c r="L130" s="144"/>
      <c r="M130" s="166">
        <f t="shared" si="23"/>
        <v>42223</v>
      </c>
      <c r="N130" s="144">
        <v>42223</v>
      </c>
      <c r="O130" s="153">
        <f t="shared" si="24"/>
        <v>-47</v>
      </c>
      <c r="P130" s="153">
        <f t="shared" si="25"/>
        <v>0</v>
      </c>
      <c r="Q130" s="153">
        <f t="shared" si="26"/>
        <v>-47</v>
      </c>
      <c r="R130" s="149">
        <f t="shared" si="27"/>
        <v>-77</v>
      </c>
      <c r="S130" s="150">
        <v>29</v>
      </c>
      <c r="T130" s="146">
        <f t="shared" si="21"/>
        <v>0</v>
      </c>
      <c r="U130" s="146">
        <f t="shared" si="22"/>
        <v>-5780.389999999999</v>
      </c>
      <c r="V130" s="150">
        <f t="shared" si="20"/>
        <v>129</v>
      </c>
    </row>
    <row r="131" spans="1:22" s="18" customFormat="1" ht="12.75">
      <c r="A131" s="143" t="s">
        <v>356</v>
      </c>
      <c r="B131" s="144">
        <v>42220</v>
      </c>
      <c r="C131" s="145" t="s">
        <v>357</v>
      </c>
      <c r="D131" s="146">
        <v>151.92</v>
      </c>
      <c r="K131" s="144">
        <v>42270</v>
      </c>
      <c r="L131" s="144"/>
      <c r="M131" s="166">
        <f t="shared" si="23"/>
        <v>42223</v>
      </c>
      <c r="N131" s="144">
        <v>42223</v>
      </c>
      <c r="O131" s="153">
        <f t="shared" si="24"/>
        <v>-47</v>
      </c>
      <c r="P131" s="153">
        <f t="shared" si="25"/>
        <v>0</v>
      </c>
      <c r="Q131" s="153">
        <f t="shared" si="26"/>
        <v>-47</v>
      </c>
      <c r="R131" s="149">
        <f t="shared" si="27"/>
        <v>-77</v>
      </c>
      <c r="S131" s="150">
        <v>29</v>
      </c>
      <c r="T131" s="146">
        <f t="shared" si="21"/>
        <v>0</v>
      </c>
      <c r="U131" s="146">
        <f t="shared" si="22"/>
        <v>-11697.839999999998</v>
      </c>
      <c r="V131" s="150">
        <f t="shared" si="20"/>
        <v>129</v>
      </c>
    </row>
    <row r="132" spans="1:22" s="18" customFormat="1" ht="12.75">
      <c r="A132" s="143" t="s">
        <v>358</v>
      </c>
      <c r="B132" s="144">
        <v>42220</v>
      </c>
      <c r="C132" s="145" t="s">
        <v>361</v>
      </c>
      <c r="D132" s="146">
        <v>453.65</v>
      </c>
      <c r="K132" s="144">
        <v>42270</v>
      </c>
      <c r="L132" s="144"/>
      <c r="M132" s="166">
        <f t="shared" si="23"/>
        <v>42223</v>
      </c>
      <c r="N132" s="144">
        <v>42223</v>
      </c>
      <c r="O132" s="153">
        <f t="shared" si="24"/>
        <v>-47</v>
      </c>
      <c r="P132" s="153">
        <f t="shared" si="25"/>
        <v>0</v>
      </c>
      <c r="Q132" s="153">
        <f t="shared" si="26"/>
        <v>-47</v>
      </c>
      <c r="R132" s="149">
        <f t="shared" si="27"/>
        <v>-77</v>
      </c>
      <c r="S132" s="150">
        <v>29</v>
      </c>
      <c r="T132" s="146">
        <f t="shared" si="21"/>
        <v>0</v>
      </c>
      <c r="U132" s="146">
        <f t="shared" si="22"/>
        <v>-34931.049999999996</v>
      </c>
      <c r="V132" s="150">
        <f t="shared" si="20"/>
        <v>129</v>
      </c>
    </row>
    <row r="133" spans="1:22" s="18" customFormat="1" ht="12.75">
      <c r="A133" s="143" t="s">
        <v>359</v>
      </c>
      <c r="B133" s="144">
        <v>42220</v>
      </c>
      <c r="C133" s="145" t="s">
        <v>362</v>
      </c>
      <c r="D133" s="146">
        <v>72.65</v>
      </c>
      <c r="K133" s="144">
        <v>42270</v>
      </c>
      <c r="L133" s="144"/>
      <c r="M133" s="166">
        <f t="shared" si="23"/>
        <v>42223</v>
      </c>
      <c r="N133" s="144">
        <v>42223</v>
      </c>
      <c r="O133" s="153">
        <f t="shared" si="24"/>
        <v>-47</v>
      </c>
      <c r="P133" s="153">
        <f t="shared" si="25"/>
        <v>0</v>
      </c>
      <c r="Q133" s="153">
        <f t="shared" si="26"/>
        <v>-47</v>
      </c>
      <c r="R133" s="149">
        <f t="shared" si="27"/>
        <v>-77</v>
      </c>
      <c r="S133" s="150">
        <v>29</v>
      </c>
      <c r="T133" s="146">
        <f t="shared" si="21"/>
        <v>0</v>
      </c>
      <c r="U133" s="146">
        <f t="shared" si="22"/>
        <v>-5594.05</v>
      </c>
      <c r="V133" s="150">
        <f t="shared" si="20"/>
        <v>129</v>
      </c>
    </row>
    <row r="134" spans="1:22" s="18" customFormat="1" ht="12.75">
      <c r="A134" s="143" t="s">
        <v>360</v>
      </c>
      <c r="B134" s="144">
        <v>42220</v>
      </c>
      <c r="C134" s="145" t="s">
        <v>363</v>
      </c>
      <c r="D134" s="146">
        <v>990.92</v>
      </c>
      <c r="K134" s="144">
        <v>42270</v>
      </c>
      <c r="L134" s="144"/>
      <c r="M134" s="166">
        <f aca="true" t="shared" si="28" ref="M134:M152">+N134</f>
        <v>42223</v>
      </c>
      <c r="N134" s="144">
        <v>42223</v>
      </c>
      <c r="O134" s="153">
        <f t="shared" si="24"/>
        <v>-47</v>
      </c>
      <c r="P134" s="153">
        <f t="shared" si="25"/>
        <v>0</v>
      </c>
      <c r="Q134" s="153">
        <f t="shared" si="26"/>
        <v>-47</v>
      </c>
      <c r="R134" s="149">
        <f t="shared" si="27"/>
        <v>-77</v>
      </c>
      <c r="S134" s="150">
        <v>29</v>
      </c>
      <c r="T134" s="146">
        <f t="shared" si="21"/>
        <v>0</v>
      </c>
      <c r="U134" s="146">
        <f t="shared" si="22"/>
        <v>-76300.84</v>
      </c>
      <c r="V134" s="150">
        <f t="shared" si="20"/>
        <v>129</v>
      </c>
    </row>
    <row r="135" spans="1:22" s="18" customFormat="1" ht="12.75">
      <c r="A135" s="143" t="s">
        <v>366</v>
      </c>
      <c r="B135" s="144">
        <v>42250</v>
      </c>
      <c r="C135" s="145" t="s">
        <v>371</v>
      </c>
      <c r="D135" s="146">
        <v>75.07</v>
      </c>
      <c r="K135" s="144">
        <v>42270</v>
      </c>
      <c r="L135" s="144"/>
      <c r="M135" s="166">
        <f t="shared" si="28"/>
        <v>42255</v>
      </c>
      <c r="N135" s="144">
        <v>42255</v>
      </c>
      <c r="O135" s="153">
        <f t="shared" si="24"/>
        <v>-15</v>
      </c>
      <c r="P135" s="153">
        <f t="shared" si="25"/>
        <v>0</v>
      </c>
      <c r="Q135" s="153">
        <f t="shared" si="26"/>
        <v>-15</v>
      </c>
      <c r="R135" s="149">
        <f t="shared" si="27"/>
        <v>-45</v>
      </c>
      <c r="S135" s="150">
        <v>29</v>
      </c>
      <c r="T135" s="146">
        <f t="shared" si="21"/>
        <v>0</v>
      </c>
      <c r="U135" s="146">
        <f t="shared" si="22"/>
        <v>-3378.1499999999996</v>
      </c>
      <c r="V135" s="150">
        <f aca="true" t="shared" si="29" ref="V135:V152">IF(P135&gt;30,200+S135,100+S135)</f>
        <v>129</v>
      </c>
    </row>
    <row r="136" spans="1:22" s="18" customFormat="1" ht="12.75">
      <c r="A136" s="143" t="s">
        <v>367</v>
      </c>
      <c r="B136" s="144">
        <v>42250</v>
      </c>
      <c r="C136" s="145" t="s">
        <v>372</v>
      </c>
      <c r="D136" s="146">
        <v>429.57</v>
      </c>
      <c r="K136" s="144">
        <v>42270</v>
      </c>
      <c r="L136" s="144"/>
      <c r="M136" s="166">
        <f t="shared" si="28"/>
        <v>42255</v>
      </c>
      <c r="N136" s="144">
        <v>42255</v>
      </c>
      <c r="O136" s="153">
        <f t="shared" si="24"/>
        <v>-15</v>
      </c>
      <c r="P136" s="153">
        <f t="shared" si="25"/>
        <v>0</v>
      </c>
      <c r="Q136" s="153">
        <f t="shared" si="26"/>
        <v>-15</v>
      </c>
      <c r="R136" s="149">
        <f t="shared" si="27"/>
        <v>-45</v>
      </c>
      <c r="S136" s="150">
        <v>29</v>
      </c>
      <c r="T136" s="146">
        <f aca="true" t="shared" si="30" ref="T136:T152">+P136*D136</f>
        <v>0</v>
      </c>
      <c r="U136" s="146">
        <f aca="true" t="shared" si="31" ref="U136:U152">+R136*D136</f>
        <v>-19330.65</v>
      </c>
      <c r="V136" s="150">
        <f t="shared" si="29"/>
        <v>129</v>
      </c>
    </row>
    <row r="137" spans="1:22" s="18" customFormat="1" ht="12.75">
      <c r="A137" s="143" t="s">
        <v>368</v>
      </c>
      <c r="B137" s="144">
        <v>42250</v>
      </c>
      <c r="C137" s="145" t="s">
        <v>373</v>
      </c>
      <c r="D137" s="146">
        <v>151.92</v>
      </c>
      <c r="K137" s="144">
        <v>42270</v>
      </c>
      <c r="L137" s="144"/>
      <c r="M137" s="166">
        <f t="shared" si="28"/>
        <v>42255</v>
      </c>
      <c r="N137" s="144">
        <v>42255</v>
      </c>
      <c r="O137" s="153">
        <f t="shared" si="24"/>
        <v>-15</v>
      </c>
      <c r="P137" s="153">
        <f t="shared" si="25"/>
        <v>0</v>
      </c>
      <c r="Q137" s="153">
        <f t="shared" si="26"/>
        <v>-15</v>
      </c>
      <c r="R137" s="149">
        <f t="shared" si="27"/>
        <v>-45</v>
      </c>
      <c r="S137" s="150">
        <v>29</v>
      </c>
      <c r="T137" s="146">
        <f t="shared" si="30"/>
        <v>0</v>
      </c>
      <c r="U137" s="146">
        <f t="shared" si="31"/>
        <v>-6836.4</v>
      </c>
      <c r="V137" s="150">
        <f t="shared" si="29"/>
        <v>129</v>
      </c>
    </row>
    <row r="138" spans="1:22" s="18" customFormat="1" ht="12.75">
      <c r="A138" s="143" t="s">
        <v>369</v>
      </c>
      <c r="B138" s="144">
        <v>42250</v>
      </c>
      <c r="C138" s="145" t="s">
        <v>374</v>
      </c>
      <c r="D138" s="146">
        <v>72.65</v>
      </c>
      <c r="K138" s="144">
        <v>42270</v>
      </c>
      <c r="L138" s="144"/>
      <c r="M138" s="166">
        <f t="shared" si="28"/>
        <v>42255</v>
      </c>
      <c r="N138" s="144">
        <v>42255</v>
      </c>
      <c r="O138" s="153">
        <f t="shared" si="24"/>
        <v>-15</v>
      </c>
      <c r="P138" s="153">
        <f t="shared" si="25"/>
        <v>0</v>
      </c>
      <c r="Q138" s="153">
        <f t="shared" si="26"/>
        <v>-15</v>
      </c>
      <c r="R138" s="149">
        <f t="shared" si="27"/>
        <v>-45</v>
      </c>
      <c r="S138" s="150">
        <v>29</v>
      </c>
      <c r="T138" s="146">
        <f t="shared" si="30"/>
        <v>0</v>
      </c>
      <c r="U138" s="146">
        <f t="shared" si="31"/>
        <v>-3269.2500000000005</v>
      </c>
      <c r="V138" s="150">
        <f t="shared" si="29"/>
        <v>129</v>
      </c>
    </row>
    <row r="139" spans="1:22" s="18" customFormat="1" ht="12.75">
      <c r="A139" s="143" t="s">
        <v>370</v>
      </c>
      <c r="B139" s="144">
        <v>42250</v>
      </c>
      <c r="C139" s="145" t="s">
        <v>375</v>
      </c>
      <c r="D139" s="146">
        <v>949.45</v>
      </c>
      <c r="K139" s="144">
        <v>42270</v>
      </c>
      <c r="L139" s="144"/>
      <c r="M139" s="166">
        <f t="shared" si="28"/>
        <v>42255</v>
      </c>
      <c r="N139" s="144">
        <v>42255</v>
      </c>
      <c r="O139" s="153">
        <f t="shared" si="24"/>
        <v>-15</v>
      </c>
      <c r="P139" s="153">
        <f t="shared" si="25"/>
        <v>0</v>
      </c>
      <c r="Q139" s="153">
        <f t="shared" si="26"/>
        <v>-15</v>
      </c>
      <c r="R139" s="149">
        <f t="shared" si="27"/>
        <v>-45</v>
      </c>
      <c r="S139" s="150">
        <v>29</v>
      </c>
      <c r="T139" s="146">
        <f t="shared" si="30"/>
        <v>0</v>
      </c>
      <c r="U139" s="146">
        <f t="shared" si="31"/>
        <v>-42725.25</v>
      </c>
      <c r="V139" s="150">
        <f t="shared" si="29"/>
        <v>129</v>
      </c>
    </row>
    <row r="140" spans="1:22" s="18" customFormat="1" ht="12.75">
      <c r="A140" s="143" t="s">
        <v>381</v>
      </c>
      <c r="B140" s="144">
        <v>42241</v>
      </c>
      <c r="C140" s="145" t="s">
        <v>382</v>
      </c>
      <c r="D140" s="146">
        <v>102</v>
      </c>
      <c r="K140" s="144">
        <v>42241</v>
      </c>
      <c r="L140" s="144"/>
      <c r="M140" s="166">
        <f t="shared" si="28"/>
        <v>42202</v>
      </c>
      <c r="N140" s="144">
        <v>42202</v>
      </c>
      <c r="O140" s="153">
        <f t="shared" si="24"/>
        <v>-39</v>
      </c>
      <c r="P140" s="153">
        <f t="shared" si="25"/>
        <v>0</v>
      </c>
      <c r="Q140" s="153">
        <f t="shared" si="26"/>
        <v>-39</v>
      </c>
      <c r="R140" s="149">
        <f t="shared" si="27"/>
        <v>-69</v>
      </c>
      <c r="S140" s="150">
        <v>29</v>
      </c>
      <c r="T140" s="146">
        <f t="shared" si="30"/>
        <v>0</v>
      </c>
      <c r="U140" s="146">
        <f t="shared" si="31"/>
        <v>-7038</v>
      </c>
      <c r="V140" s="150">
        <f t="shared" si="29"/>
        <v>129</v>
      </c>
    </row>
    <row r="141" spans="1:22" s="150" customFormat="1" ht="12.75">
      <c r="A141" s="147" t="s">
        <v>383</v>
      </c>
      <c r="B141" s="159">
        <v>42258</v>
      </c>
      <c r="C141" s="170" t="s">
        <v>384</v>
      </c>
      <c r="D141" s="161">
        <v>248.06</v>
      </c>
      <c r="K141" s="159">
        <v>42277</v>
      </c>
      <c r="L141" s="159"/>
      <c r="M141" s="171">
        <f t="shared" si="28"/>
        <v>42262</v>
      </c>
      <c r="N141" s="159">
        <v>42262</v>
      </c>
      <c r="O141" s="172">
        <f t="shared" si="24"/>
        <v>-15</v>
      </c>
      <c r="P141" s="172">
        <f t="shared" si="25"/>
        <v>0</v>
      </c>
      <c r="Q141" s="172">
        <f t="shared" si="26"/>
        <v>-15</v>
      </c>
      <c r="R141" s="162">
        <f t="shared" si="27"/>
        <v>-45</v>
      </c>
      <c r="S141" s="150">
        <v>29</v>
      </c>
      <c r="T141" s="161">
        <f t="shared" si="30"/>
        <v>0</v>
      </c>
      <c r="U141" s="161">
        <f t="shared" si="31"/>
        <v>-11162.7</v>
      </c>
      <c r="V141" s="150">
        <f t="shared" si="29"/>
        <v>129</v>
      </c>
    </row>
    <row r="142" spans="1:22" s="18" customFormat="1" ht="12.75">
      <c r="A142" s="143" t="s">
        <v>385</v>
      </c>
      <c r="B142" s="144">
        <v>42261</v>
      </c>
      <c r="C142" s="145" t="s">
        <v>386</v>
      </c>
      <c r="D142" s="146">
        <v>298.35</v>
      </c>
      <c r="K142" s="144">
        <v>42277</v>
      </c>
      <c r="L142" s="144"/>
      <c r="M142" s="144">
        <f t="shared" si="28"/>
        <v>42263</v>
      </c>
      <c r="N142" s="144">
        <v>42263</v>
      </c>
      <c r="O142" s="153">
        <f t="shared" si="24"/>
        <v>-14</v>
      </c>
      <c r="P142" s="153">
        <f t="shared" si="25"/>
        <v>0</v>
      </c>
      <c r="Q142" s="153">
        <f t="shared" si="26"/>
        <v>-14</v>
      </c>
      <c r="R142" s="149">
        <f t="shared" si="27"/>
        <v>-44</v>
      </c>
      <c r="S142" s="150">
        <v>29</v>
      </c>
      <c r="T142" s="146">
        <f t="shared" si="30"/>
        <v>0</v>
      </c>
      <c r="U142" s="146">
        <f t="shared" si="31"/>
        <v>-13127.400000000001</v>
      </c>
      <c r="V142" s="150">
        <f t="shared" si="29"/>
        <v>129</v>
      </c>
    </row>
    <row r="143" spans="1:22" s="18" customFormat="1" ht="12.75">
      <c r="A143" s="143" t="s">
        <v>387</v>
      </c>
      <c r="B143" s="144">
        <v>42261</v>
      </c>
      <c r="C143" s="145" t="s">
        <v>388</v>
      </c>
      <c r="D143" s="146">
        <v>337.72</v>
      </c>
      <c r="K143" s="144">
        <v>42277</v>
      </c>
      <c r="L143" s="144"/>
      <c r="M143" s="144">
        <f t="shared" si="28"/>
        <v>42263</v>
      </c>
      <c r="N143" s="144">
        <v>42263</v>
      </c>
      <c r="O143" s="153">
        <f t="shared" si="24"/>
        <v>-14</v>
      </c>
      <c r="P143" s="153">
        <f t="shared" si="25"/>
        <v>0</v>
      </c>
      <c r="Q143" s="153">
        <f t="shared" si="26"/>
        <v>-14</v>
      </c>
      <c r="R143" s="149">
        <f t="shared" si="27"/>
        <v>-44</v>
      </c>
      <c r="S143" s="150">
        <v>29</v>
      </c>
      <c r="T143" s="146">
        <f t="shared" si="30"/>
        <v>0</v>
      </c>
      <c r="U143" s="146">
        <f t="shared" si="31"/>
        <v>-14859.68</v>
      </c>
      <c r="V143" s="150">
        <f t="shared" si="29"/>
        <v>129</v>
      </c>
    </row>
    <row r="144" spans="1:22" s="18" customFormat="1" ht="12.75">
      <c r="A144" s="143" t="s">
        <v>389</v>
      </c>
      <c r="B144" s="144">
        <v>42268</v>
      </c>
      <c r="C144" s="145" t="s">
        <v>390</v>
      </c>
      <c r="D144" s="146">
        <v>459.8</v>
      </c>
      <c r="K144" s="144">
        <v>42277</v>
      </c>
      <c r="L144" s="144"/>
      <c r="M144" s="144">
        <f t="shared" si="28"/>
        <v>42269</v>
      </c>
      <c r="N144" s="144">
        <v>42269</v>
      </c>
      <c r="O144" s="153">
        <f t="shared" si="24"/>
        <v>-8</v>
      </c>
      <c r="P144" s="153">
        <f t="shared" si="25"/>
        <v>0</v>
      </c>
      <c r="Q144" s="153">
        <f t="shared" si="26"/>
        <v>-8</v>
      </c>
      <c r="R144" s="149">
        <f t="shared" si="27"/>
        <v>-38</v>
      </c>
      <c r="S144" s="150">
        <v>29</v>
      </c>
      <c r="T144" s="146">
        <f t="shared" si="30"/>
        <v>0</v>
      </c>
      <c r="U144" s="146">
        <f t="shared" si="31"/>
        <v>-17472.4</v>
      </c>
      <c r="V144" s="150">
        <f t="shared" si="29"/>
        <v>129</v>
      </c>
    </row>
    <row r="145" spans="1:22" s="18" customFormat="1" ht="12.75">
      <c r="A145" s="143" t="s">
        <v>393</v>
      </c>
      <c r="B145" s="144">
        <v>42264</v>
      </c>
      <c r="C145" s="145" t="s">
        <v>394</v>
      </c>
      <c r="D145" s="146">
        <v>683.65</v>
      </c>
      <c r="K145" s="144">
        <v>42277</v>
      </c>
      <c r="L145" s="144"/>
      <c r="M145" s="144">
        <f t="shared" si="28"/>
        <v>42275</v>
      </c>
      <c r="N145" s="144">
        <v>42275</v>
      </c>
      <c r="O145" s="153">
        <f t="shared" si="24"/>
        <v>-2</v>
      </c>
      <c r="P145" s="153">
        <f t="shared" si="25"/>
        <v>0</v>
      </c>
      <c r="Q145" s="153">
        <f t="shared" si="26"/>
        <v>-2</v>
      </c>
      <c r="R145" s="149">
        <f t="shared" si="27"/>
        <v>-32</v>
      </c>
      <c r="S145" s="150">
        <v>29</v>
      </c>
      <c r="T145" s="146">
        <f t="shared" si="30"/>
        <v>0</v>
      </c>
      <c r="U145" s="146">
        <f t="shared" si="31"/>
        <v>-21876.8</v>
      </c>
      <c r="V145" s="150">
        <f t="shared" si="29"/>
        <v>129</v>
      </c>
    </row>
    <row r="146" spans="1:22" s="18" customFormat="1" ht="12.75">
      <c r="A146" s="143" t="s">
        <v>395</v>
      </c>
      <c r="B146" s="144">
        <v>42248</v>
      </c>
      <c r="C146" s="145" t="s">
        <v>396</v>
      </c>
      <c r="D146" s="146">
        <v>524.67</v>
      </c>
      <c r="K146" s="144">
        <v>42277</v>
      </c>
      <c r="L146" s="144"/>
      <c r="M146" s="144">
        <f t="shared" si="28"/>
        <v>42248</v>
      </c>
      <c r="N146" s="144">
        <v>42248</v>
      </c>
      <c r="O146" s="153">
        <f t="shared" si="24"/>
        <v>-29</v>
      </c>
      <c r="P146" s="153">
        <f t="shared" si="25"/>
        <v>0</v>
      </c>
      <c r="Q146" s="153">
        <f t="shared" si="26"/>
        <v>-29</v>
      </c>
      <c r="R146" s="149">
        <f t="shared" si="27"/>
        <v>-59</v>
      </c>
      <c r="S146" s="150">
        <v>29</v>
      </c>
      <c r="T146" s="146">
        <f t="shared" si="30"/>
        <v>0</v>
      </c>
      <c r="U146" s="146">
        <f t="shared" si="31"/>
        <v>-30955.53</v>
      </c>
      <c r="V146" s="150">
        <f t="shared" si="29"/>
        <v>129</v>
      </c>
    </row>
    <row r="147" spans="1:22" s="18" customFormat="1" ht="12.75">
      <c r="A147" s="143" t="s">
        <v>399</v>
      </c>
      <c r="B147" s="144">
        <v>42267</v>
      </c>
      <c r="C147" s="145" t="s">
        <v>400</v>
      </c>
      <c r="D147" s="146">
        <v>2757.64</v>
      </c>
      <c r="K147" s="144">
        <v>42277</v>
      </c>
      <c r="L147" s="144"/>
      <c r="M147" s="144">
        <f t="shared" si="28"/>
        <v>42271</v>
      </c>
      <c r="N147" s="144">
        <v>42271</v>
      </c>
      <c r="O147" s="153">
        <f t="shared" si="24"/>
        <v>-6</v>
      </c>
      <c r="P147" s="153">
        <f t="shared" si="25"/>
        <v>0</v>
      </c>
      <c r="Q147" s="153">
        <f t="shared" si="26"/>
        <v>-6</v>
      </c>
      <c r="R147" s="149">
        <f t="shared" si="27"/>
        <v>-36</v>
      </c>
      <c r="S147" s="150">
        <v>21</v>
      </c>
      <c r="T147" s="146">
        <f t="shared" si="30"/>
        <v>0</v>
      </c>
      <c r="U147" s="146">
        <f t="shared" si="31"/>
        <v>-99275.04</v>
      </c>
      <c r="V147" s="150">
        <f t="shared" si="29"/>
        <v>121</v>
      </c>
    </row>
    <row r="148" spans="1:22" s="18" customFormat="1" ht="12.75">
      <c r="A148" s="143" t="s">
        <v>414</v>
      </c>
      <c r="B148" s="144">
        <v>42258</v>
      </c>
      <c r="C148" s="145" t="s">
        <v>415</v>
      </c>
      <c r="D148" s="146">
        <v>379.76</v>
      </c>
      <c r="K148" s="144">
        <v>42282</v>
      </c>
      <c r="L148" s="144"/>
      <c r="M148" s="144">
        <f t="shared" si="28"/>
        <v>42262</v>
      </c>
      <c r="N148" s="144">
        <v>42262</v>
      </c>
      <c r="O148" s="153">
        <f t="shared" si="24"/>
        <v>-20</v>
      </c>
      <c r="P148" s="153">
        <f t="shared" si="25"/>
        <v>0</v>
      </c>
      <c r="Q148" s="153">
        <f t="shared" si="26"/>
        <v>-20</v>
      </c>
      <c r="R148" s="149">
        <f t="shared" si="27"/>
        <v>-50</v>
      </c>
      <c r="S148" s="150">
        <v>29</v>
      </c>
      <c r="T148" s="146">
        <f t="shared" si="30"/>
        <v>0</v>
      </c>
      <c r="U148" s="146">
        <f t="shared" si="31"/>
        <v>-18988</v>
      </c>
      <c r="V148" s="150">
        <f t="shared" si="29"/>
        <v>129</v>
      </c>
    </row>
    <row r="149" spans="1:22" s="18" customFormat="1" ht="12.75">
      <c r="A149" s="143" t="s">
        <v>416</v>
      </c>
      <c r="B149" s="144">
        <v>42248</v>
      </c>
      <c r="C149" s="145" t="s">
        <v>417</v>
      </c>
      <c r="D149" s="146">
        <v>217.8</v>
      </c>
      <c r="K149" s="144">
        <v>42282</v>
      </c>
      <c r="L149" s="144"/>
      <c r="M149" s="144">
        <f t="shared" si="28"/>
        <v>42254</v>
      </c>
      <c r="N149" s="144">
        <v>42254</v>
      </c>
      <c r="O149" s="153">
        <f t="shared" si="24"/>
        <v>-28</v>
      </c>
      <c r="P149" s="153">
        <f t="shared" si="25"/>
        <v>0</v>
      </c>
      <c r="Q149" s="153">
        <f t="shared" si="26"/>
        <v>-28</v>
      </c>
      <c r="R149" s="149">
        <f t="shared" si="27"/>
        <v>-58</v>
      </c>
      <c r="S149" s="150">
        <v>29</v>
      </c>
      <c r="T149" s="146">
        <f t="shared" si="30"/>
        <v>0</v>
      </c>
      <c r="U149" s="146">
        <f t="shared" si="31"/>
        <v>-12632.400000000001</v>
      </c>
      <c r="V149" s="150">
        <f t="shared" si="29"/>
        <v>129</v>
      </c>
    </row>
    <row r="150" spans="1:22" s="18" customFormat="1" ht="12.75">
      <c r="A150" s="143" t="s">
        <v>418</v>
      </c>
      <c r="B150" s="144">
        <v>42217</v>
      </c>
      <c r="C150" s="145" t="s">
        <v>419</v>
      </c>
      <c r="D150" s="146">
        <v>217.8</v>
      </c>
      <c r="K150" s="144">
        <v>42282</v>
      </c>
      <c r="L150" s="144"/>
      <c r="M150" s="144">
        <f t="shared" si="28"/>
        <v>42221</v>
      </c>
      <c r="N150" s="144">
        <v>42221</v>
      </c>
      <c r="O150" s="153">
        <f t="shared" si="24"/>
        <v>-61</v>
      </c>
      <c r="P150" s="153">
        <f t="shared" si="25"/>
        <v>0</v>
      </c>
      <c r="Q150" s="153">
        <f t="shared" si="26"/>
        <v>-61</v>
      </c>
      <c r="R150" s="149">
        <f t="shared" si="27"/>
        <v>-91</v>
      </c>
      <c r="S150" s="150">
        <v>29</v>
      </c>
      <c r="T150" s="146">
        <f t="shared" si="30"/>
        <v>0</v>
      </c>
      <c r="U150" s="146">
        <f t="shared" si="31"/>
        <v>-19819.8</v>
      </c>
      <c r="V150" s="150">
        <f t="shared" si="29"/>
        <v>129</v>
      </c>
    </row>
    <row r="151" spans="1:22" s="150" customFormat="1" ht="12.75">
      <c r="A151" s="147" t="s">
        <v>422</v>
      </c>
      <c r="B151" s="159">
        <v>42247</v>
      </c>
      <c r="C151" s="170" t="s">
        <v>423</v>
      </c>
      <c r="D151" s="161">
        <v>340.6</v>
      </c>
      <c r="K151" s="159">
        <v>42283</v>
      </c>
      <c r="L151" s="159"/>
      <c r="M151" s="159">
        <f t="shared" si="28"/>
        <v>42277</v>
      </c>
      <c r="N151" s="159">
        <v>42277</v>
      </c>
      <c r="O151" s="172">
        <f t="shared" si="24"/>
        <v>-6</v>
      </c>
      <c r="P151" s="172">
        <f t="shared" si="25"/>
        <v>0</v>
      </c>
      <c r="Q151" s="172">
        <f t="shared" si="26"/>
        <v>-6</v>
      </c>
      <c r="R151" s="162">
        <f t="shared" si="27"/>
        <v>-36</v>
      </c>
      <c r="S151" s="154">
        <v>29</v>
      </c>
      <c r="T151" s="161">
        <f t="shared" si="30"/>
        <v>0</v>
      </c>
      <c r="U151" s="161">
        <f t="shared" si="31"/>
        <v>-12261.6</v>
      </c>
      <c r="V151" s="154">
        <f t="shared" si="29"/>
        <v>129</v>
      </c>
    </row>
    <row r="152" spans="1:22" s="150" customFormat="1" ht="12.75">
      <c r="A152" s="147" t="s">
        <v>424</v>
      </c>
      <c r="B152" s="159">
        <v>42216</v>
      </c>
      <c r="C152" s="170" t="s">
        <v>425</v>
      </c>
      <c r="D152" s="161">
        <v>347.83</v>
      </c>
      <c r="K152" s="159">
        <v>42283</v>
      </c>
      <c r="L152" s="159"/>
      <c r="M152" s="159">
        <f t="shared" si="28"/>
        <v>42247</v>
      </c>
      <c r="N152" s="159">
        <v>42247</v>
      </c>
      <c r="O152" s="172">
        <f t="shared" si="24"/>
        <v>-36</v>
      </c>
      <c r="P152" s="172">
        <f t="shared" si="25"/>
        <v>0</v>
      </c>
      <c r="Q152" s="172">
        <v>29</v>
      </c>
      <c r="R152" s="162">
        <f t="shared" si="27"/>
        <v>-1</v>
      </c>
      <c r="S152" s="150">
        <v>29</v>
      </c>
      <c r="T152" s="161">
        <f t="shared" si="30"/>
        <v>0</v>
      </c>
      <c r="U152" s="161">
        <f t="shared" si="31"/>
        <v>-347.83</v>
      </c>
      <c r="V152" s="150">
        <f t="shared" si="29"/>
        <v>129</v>
      </c>
    </row>
  </sheetData>
  <sheetProtection selectLockedCells="1" selectUnlockedCells="1"/>
  <mergeCells count="1">
    <mergeCell ref="M114:N1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Orria3">
    <tabColor indexed="41"/>
  </sheetPr>
  <dimension ref="A1:V40"/>
  <sheetViews>
    <sheetView zoomScalePageLayoutView="0" workbookViewId="0" topLeftCell="A1">
      <pane ySplit="3" topLeftCell="A4" activePane="bottomLeft" state="frozen"/>
      <selection pane="topLeft" activeCell="D37" sqref="D37"/>
      <selection pane="bottomLeft" activeCell="D37" sqref="D37"/>
    </sheetView>
  </sheetViews>
  <sheetFormatPr defaultColWidth="9.140625" defaultRowHeight="12.75"/>
  <cols>
    <col min="1" max="1" width="6.421875" style="2" customWidth="1"/>
    <col min="2" max="2" width="7.140625" style="14" customWidth="1"/>
    <col min="3" max="3" width="7.421875" style="2" customWidth="1"/>
    <col min="4" max="4" width="11.140625" style="8" customWidth="1"/>
    <col min="5" max="5" width="7.421875" style="2" bestFit="1" customWidth="1"/>
    <col min="6" max="6" width="9.140625" style="2" customWidth="1"/>
    <col min="7" max="7" width="20.421875" style="2" customWidth="1"/>
    <col min="8" max="8" width="4.28125" style="2" customWidth="1"/>
    <col min="9" max="9" width="3.28125" style="2" customWidth="1"/>
    <col min="10" max="10" width="15.421875" style="2" customWidth="1"/>
    <col min="11" max="11" width="9.28125" style="14" bestFit="1" customWidth="1"/>
    <col min="12" max="12" width="5.7109375" style="14" customWidth="1"/>
    <col min="13" max="13" width="9.28125" style="14" bestFit="1" customWidth="1"/>
    <col min="14" max="14" width="9.140625" style="14" customWidth="1"/>
    <col min="15" max="16" width="9.28125" style="9" bestFit="1" customWidth="1"/>
    <col min="17" max="17" width="10.00390625" style="9" bestFit="1" customWidth="1"/>
    <col min="18" max="18" width="8.7109375" style="9" bestFit="1" customWidth="1"/>
    <col min="19" max="19" width="8.140625" style="2" customWidth="1"/>
    <col min="20" max="21" width="14.57421875" style="8" bestFit="1" customWidth="1"/>
    <col min="22" max="16384" width="9.140625" style="2" customWidth="1"/>
  </cols>
  <sheetData>
    <row r="1" spans="1:17" ht="11.25">
      <c r="A1" s="3" t="s">
        <v>78</v>
      </c>
      <c r="B1" s="16"/>
      <c r="C1" s="4"/>
      <c r="D1" s="7"/>
      <c r="E1" s="4"/>
      <c r="F1" s="4"/>
      <c r="G1" s="119" t="s">
        <v>99</v>
      </c>
      <c r="H1" s="4"/>
      <c r="I1" s="4"/>
      <c r="J1" s="4"/>
      <c r="O1" s="96"/>
      <c r="P1" s="96" t="s">
        <v>98</v>
      </c>
      <c r="Q1" s="115">
        <v>42094</v>
      </c>
    </row>
    <row r="3" spans="1:22" ht="38.25" customHeight="1">
      <c r="A3" s="5" t="s">
        <v>75</v>
      </c>
      <c r="B3" s="17" t="s">
        <v>70</v>
      </c>
      <c r="C3" s="6" t="s">
        <v>84</v>
      </c>
      <c r="D3" s="116" t="s">
        <v>44</v>
      </c>
      <c r="E3" s="5" t="s">
        <v>83</v>
      </c>
      <c r="F3" s="118" t="s">
        <v>71</v>
      </c>
      <c r="G3" s="118" t="s">
        <v>72</v>
      </c>
      <c r="H3" s="6" t="s">
        <v>81</v>
      </c>
      <c r="I3" s="6" t="s">
        <v>82</v>
      </c>
      <c r="J3" s="118" t="s">
        <v>73</v>
      </c>
      <c r="K3" s="117" t="s">
        <v>74</v>
      </c>
      <c r="L3" s="15" t="s">
        <v>76</v>
      </c>
      <c r="M3" s="15" t="s">
        <v>90</v>
      </c>
      <c r="N3" s="15" t="s">
        <v>91</v>
      </c>
      <c r="O3" s="10" t="s">
        <v>77</v>
      </c>
      <c r="P3" s="11" t="s">
        <v>85</v>
      </c>
      <c r="Q3" s="12" t="s">
        <v>86</v>
      </c>
      <c r="R3" s="13" t="s">
        <v>50</v>
      </c>
      <c r="S3" s="2" t="s">
        <v>92</v>
      </c>
      <c r="T3" s="8" t="s">
        <v>93</v>
      </c>
      <c r="U3" s="8" t="s">
        <v>94</v>
      </c>
      <c r="V3" s="2" t="s">
        <v>95</v>
      </c>
    </row>
    <row r="4" spans="2:21" s="120" customFormat="1" ht="11.25">
      <c r="B4" s="121"/>
      <c r="D4" s="122"/>
      <c r="K4" s="121"/>
      <c r="L4" s="121"/>
      <c r="M4" s="121"/>
      <c r="N4" s="121"/>
      <c r="O4" s="123"/>
      <c r="P4" s="123"/>
      <c r="Q4" s="123"/>
      <c r="R4" s="123"/>
      <c r="T4" s="124"/>
      <c r="U4" s="124"/>
    </row>
    <row r="5" spans="2:21" s="120" customFormat="1" ht="11.25">
      <c r="B5" s="121"/>
      <c r="D5" s="122"/>
      <c r="K5" s="121"/>
      <c r="L5" s="121"/>
      <c r="M5" s="121"/>
      <c r="N5" s="121"/>
      <c r="O5" s="123"/>
      <c r="P5" s="123"/>
      <c r="Q5" s="123"/>
      <c r="R5" s="123"/>
      <c r="T5" s="124"/>
      <c r="U5" s="124"/>
    </row>
    <row r="6" spans="2:21" s="120" customFormat="1" ht="11.25">
      <c r="B6" s="121"/>
      <c r="D6" s="124"/>
      <c r="K6" s="121"/>
      <c r="L6" s="121"/>
      <c r="M6" s="121"/>
      <c r="N6" s="121"/>
      <c r="O6" s="123"/>
      <c r="P6" s="123"/>
      <c r="Q6" s="123"/>
      <c r="R6" s="123"/>
      <c r="T6" s="124"/>
      <c r="U6" s="124"/>
    </row>
    <row r="7" spans="2:21" s="120" customFormat="1" ht="11.25">
      <c r="B7" s="121"/>
      <c r="D7" s="124"/>
      <c r="K7" s="121"/>
      <c r="L7" s="121"/>
      <c r="M7" s="121"/>
      <c r="N7" s="121"/>
      <c r="O7" s="123"/>
      <c r="P7" s="123"/>
      <c r="Q7" s="123"/>
      <c r="R7" s="123"/>
      <c r="T7" s="124"/>
      <c r="U7" s="124"/>
    </row>
    <row r="8" spans="2:21" s="120" customFormat="1" ht="11.25">
      <c r="B8" s="121"/>
      <c r="D8" s="124"/>
      <c r="K8" s="121"/>
      <c r="L8" s="121"/>
      <c r="M8" s="121"/>
      <c r="N8" s="121"/>
      <c r="O8" s="123"/>
      <c r="P8" s="123"/>
      <c r="Q8" s="123"/>
      <c r="R8" s="123"/>
      <c r="T8" s="124"/>
      <c r="U8" s="124"/>
    </row>
    <row r="9" spans="2:21" s="120" customFormat="1" ht="11.25">
      <c r="B9" s="121"/>
      <c r="D9" s="124"/>
      <c r="K9" s="121"/>
      <c r="L9" s="121"/>
      <c r="M9" s="121"/>
      <c r="N9" s="121"/>
      <c r="O9" s="123"/>
      <c r="P9" s="123"/>
      <c r="Q9" s="123"/>
      <c r="R9" s="123"/>
      <c r="T9" s="124"/>
      <c r="U9" s="124"/>
    </row>
    <row r="10" spans="2:21" s="120" customFormat="1" ht="11.25">
      <c r="B10" s="121"/>
      <c r="D10" s="124"/>
      <c r="K10" s="121"/>
      <c r="L10" s="121"/>
      <c r="M10" s="121"/>
      <c r="N10" s="121"/>
      <c r="O10" s="123"/>
      <c r="P10" s="123"/>
      <c r="Q10" s="123"/>
      <c r="R10" s="123"/>
      <c r="T10" s="124"/>
      <c r="U10" s="124"/>
    </row>
    <row r="11" spans="2:21" s="120" customFormat="1" ht="11.25">
      <c r="B11" s="121"/>
      <c r="D11" s="124"/>
      <c r="K11" s="121"/>
      <c r="L11" s="121"/>
      <c r="M11" s="121"/>
      <c r="N11" s="121"/>
      <c r="O11" s="123"/>
      <c r="P11" s="123"/>
      <c r="Q11" s="123"/>
      <c r="R11" s="123"/>
      <c r="T11" s="124"/>
      <c r="U11" s="124"/>
    </row>
    <row r="12" spans="2:21" s="120" customFormat="1" ht="11.25">
      <c r="B12" s="121"/>
      <c r="D12" s="124"/>
      <c r="K12" s="121"/>
      <c r="L12" s="121"/>
      <c r="M12" s="121"/>
      <c r="N12" s="121"/>
      <c r="O12" s="123"/>
      <c r="P12" s="123"/>
      <c r="Q12" s="123"/>
      <c r="R12" s="123"/>
      <c r="T12" s="124"/>
      <c r="U12" s="124"/>
    </row>
    <row r="13" spans="2:21" s="120" customFormat="1" ht="11.25">
      <c r="B13" s="121"/>
      <c r="D13" s="124"/>
      <c r="K13" s="121"/>
      <c r="L13" s="121"/>
      <c r="M13" s="121"/>
      <c r="N13" s="121"/>
      <c r="O13" s="123"/>
      <c r="P13" s="123"/>
      <c r="Q13" s="123"/>
      <c r="R13" s="123"/>
      <c r="T13" s="124"/>
      <c r="U13" s="124"/>
    </row>
    <row r="14" spans="2:21" s="120" customFormat="1" ht="11.25">
      <c r="B14" s="121"/>
      <c r="D14" s="124"/>
      <c r="K14" s="121"/>
      <c r="L14" s="121"/>
      <c r="M14" s="121"/>
      <c r="N14" s="121"/>
      <c r="O14" s="123"/>
      <c r="P14" s="123"/>
      <c r="Q14" s="123"/>
      <c r="R14" s="123"/>
      <c r="T14" s="124"/>
      <c r="U14" s="124"/>
    </row>
    <row r="15" spans="2:21" s="120" customFormat="1" ht="11.25">
      <c r="B15" s="121"/>
      <c r="D15" s="124"/>
      <c r="K15" s="121"/>
      <c r="L15" s="121"/>
      <c r="M15" s="121"/>
      <c r="N15" s="121"/>
      <c r="O15" s="123"/>
      <c r="P15" s="123"/>
      <c r="Q15" s="123"/>
      <c r="R15" s="123"/>
      <c r="T15" s="124"/>
      <c r="U15" s="124"/>
    </row>
    <row r="16" spans="2:21" s="120" customFormat="1" ht="11.25">
      <c r="B16" s="121"/>
      <c r="D16" s="124"/>
      <c r="K16" s="121"/>
      <c r="L16" s="121"/>
      <c r="M16" s="121"/>
      <c r="N16" s="121"/>
      <c r="O16" s="123"/>
      <c r="P16" s="123"/>
      <c r="Q16" s="123"/>
      <c r="R16" s="123"/>
      <c r="T16" s="124"/>
      <c r="U16" s="124"/>
    </row>
    <row r="17" spans="2:21" s="120" customFormat="1" ht="11.25">
      <c r="B17" s="121"/>
      <c r="D17" s="124"/>
      <c r="K17" s="121"/>
      <c r="L17" s="121"/>
      <c r="M17" s="121"/>
      <c r="N17" s="121"/>
      <c r="O17" s="123"/>
      <c r="P17" s="123"/>
      <c r="Q17" s="123"/>
      <c r="R17" s="123"/>
      <c r="T17" s="124"/>
      <c r="U17" s="124"/>
    </row>
    <row r="18" spans="2:21" s="120" customFormat="1" ht="11.25">
      <c r="B18" s="121"/>
      <c r="D18" s="124"/>
      <c r="K18" s="121"/>
      <c r="L18" s="121"/>
      <c r="M18" s="121"/>
      <c r="N18" s="121"/>
      <c r="O18" s="123"/>
      <c r="P18" s="123"/>
      <c r="Q18" s="123"/>
      <c r="R18" s="123"/>
      <c r="T18" s="124"/>
      <c r="U18" s="124"/>
    </row>
    <row r="19" spans="2:21" s="120" customFormat="1" ht="11.25">
      <c r="B19" s="121"/>
      <c r="D19" s="124"/>
      <c r="K19" s="121"/>
      <c r="L19" s="121"/>
      <c r="M19" s="121"/>
      <c r="N19" s="121"/>
      <c r="O19" s="123"/>
      <c r="P19" s="123"/>
      <c r="Q19" s="123"/>
      <c r="R19" s="123"/>
      <c r="T19" s="124"/>
      <c r="U19" s="124"/>
    </row>
    <row r="20" spans="2:21" s="120" customFormat="1" ht="11.25">
      <c r="B20" s="121"/>
      <c r="D20" s="124"/>
      <c r="K20" s="121"/>
      <c r="L20" s="121"/>
      <c r="M20" s="121"/>
      <c r="N20" s="121"/>
      <c r="O20" s="123"/>
      <c r="P20" s="123"/>
      <c r="Q20" s="123"/>
      <c r="R20" s="123"/>
      <c r="T20" s="124"/>
      <c r="U20" s="124"/>
    </row>
    <row r="21" spans="2:21" s="120" customFormat="1" ht="11.25">
      <c r="B21" s="121"/>
      <c r="D21" s="124"/>
      <c r="K21" s="121"/>
      <c r="L21" s="121"/>
      <c r="M21" s="121"/>
      <c r="N21" s="121"/>
      <c r="O21" s="123"/>
      <c r="P21" s="123"/>
      <c r="Q21" s="123"/>
      <c r="R21" s="123"/>
      <c r="T21" s="124"/>
      <c r="U21" s="124"/>
    </row>
    <row r="22" spans="2:21" s="120" customFormat="1" ht="11.25">
      <c r="B22" s="121"/>
      <c r="D22" s="124"/>
      <c r="K22" s="121"/>
      <c r="L22" s="121"/>
      <c r="M22" s="121"/>
      <c r="N22" s="121"/>
      <c r="O22" s="123"/>
      <c r="P22" s="123"/>
      <c r="Q22" s="123"/>
      <c r="R22" s="123"/>
      <c r="T22" s="124"/>
      <c r="U22" s="124"/>
    </row>
    <row r="23" spans="2:21" s="120" customFormat="1" ht="11.25">
      <c r="B23" s="121"/>
      <c r="D23" s="124"/>
      <c r="K23" s="121"/>
      <c r="L23" s="121"/>
      <c r="M23" s="121"/>
      <c r="N23" s="121"/>
      <c r="O23" s="123"/>
      <c r="P23" s="123"/>
      <c r="Q23" s="123"/>
      <c r="R23" s="123"/>
      <c r="T23" s="124"/>
      <c r="U23" s="124"/>
    </row>
    <row r="24" spans="2:21" s="120" customFormat="1" ht="11.25">
      <c r="B24" s="121"/>
      <c r="D24" s="124"/>
      <c r="K24" s="121"/>
      <c r="L24" s="121"/>
      <c r="M24" s="121"/>
      <c r="N24" s="121"/>
      <c r="O24" s="123"/>
      <c r="P24" s="123"/>
      <c r="Q24" s="123"/>
      <c r="R24" s="123"/>
      <c r="T24" s="124"/>
      <c r="U24" s="124"/>
    </row>
    <row r="25" spans="2:21" s="120" customFormat="1" ht="11.25">
      <c r="B25" s="121"/>
      <c r="D25" s="124"/>
      <c r="K25" s="121"/>
      <c r="L25" s="121"/>
      <c r="M25" s="121"/>
      <c r="N25" s="121"/>
      <c r="O25" s="123"/>
      <c r="P25" s="123"/>
      <c r="Q25" s="123"/>
      <c r="R25" s="123"/>
      <c r="T25" s="124"/>
      <c r="U25" s="124"/>
    </row>
    <row r="26" spans="2:21" s="120" customFormat="1" ht="11.25">
      <c r="B26" s="121"/>
      <c r="D26" s="124"/>
      <c r="K26" s="121"/>
      <c r="L26" s="121"/>
      <c r="M26" s="121"/>
      <c r="N26" s="121"/>
      <c r="O26" s="123"/>
      <c r="P26" s="123"/>
      <c r="Q26" s="123"/>
      <c r="R26" s="123"/>
      <c r="T26" s="124"/>
      <c r="U26" s="124"/>
    </row>
    <row r="27" spans="2:21" s="120" customFormat="1" ht="11.25">
      <c r="B27" s="121"/>
      <c r="D27" s="124"/>
      <c r="K27" s="121"/>
      <c r="L27" s="121"/>
      <c r="M27" s="121"/>
      <c r="N27" s="121"/>
      <c r="O27" s="123"/>
      <c r="P27" s="123"/>
      <c r="Q27" s="123"/>
      <c r="R27" s="123"/>
      <c r="T27" s="124"/>
      <c r="U27" s="124"/>
    </row>
    <row r="28" spans="2:21" s="120" customFormat="1" ht="11.25">
      <c r="B28" s="121"/>
      <c r="D28" s="124"/>
      <c r="K28" s="121"/>
      <c r="L28" s="121"/>
      <c r="M28" s="121"/>
      <c r="N28" s="121"/>
      <c r="O28" s="123"/>
      <c r="P28" s="123"/>
      <c r="Q28" s="123"/>
      <c r="R28" s="123"/>
      <c r="T28" s="124"/>
      <c r="U28" s="124"/>
    </row>
    <row r="29" spans="2:21" s="120" customFormat="1" ht="11.25">
      <c r="B29" s="121"/>
      <c r="D29" s="124"/>
      <c r="K29" s="121"/>
      <c r="L29" s="121"/>
      <c r="M29" s="121"/>
      <c r="N29" s="121"/>
      <c r="O29" s="123"/>
      <c r="P29" s="123"/>
      <c r="Q29" s="123"/>
      <c r="R29" s="123"/>
      <c r="T29" s="124"/>
      <c r="U29" s="124"/>
    </row>
    <row r="30" spans="2:21" s="120" customFormat="1" ht="11.25">
      <c r="B30" s="121"/>
      <c r="D30" s="124"/>
      <c r="K30" s="121"/>
      <c r="L30" s="121"/>
      <c r="M30" s="121"/>
      <c r="N30" s="121"/>
      <c r="O30" s="123"/>
      <c r="P30" s="123"/>
      <c r="Q30" s="123"/>
      <c r="R30" s="123"/>
      <c r="T30" s="124"/>
      <c r="U30" s="124"/>
    </row>
    <row r="31" spans="2:21" s="120" customFormat="1" ht="11.25">
      <c r="B31" s="121"/>
      <c r="D31" s="124"/>
      <c r="K31" s="121"/>
      <c r="L31" s="121"/>
      <c r="M31" s="121"/>
      <c r="N31" s="121"/>
      <c r="O31" s="123"/>
      <c r="P31" s="123"/>
      <c r="Q31" s="123"/>
      <c r="R31" s="123"/>
      <c r="T31" s="124"/>
      <c r="U31" s="124"/>
    </row>
    <row r="32" spans="2:21" s="120" customFormat="1" ht="11.25">
      <c r="B32" s="121"/>
      <c r="D32" s="124"/>
      <c r="K32" s="121"/>
      <c r="L32" s="121"/>
      <c r="M32" s="121"/>
      <c r="N32" s="121"/>
      <c r="O32" s="123"/>
      <c r="P32" s="123"/>
      <c r="Q32" s="123"/>
      <c r="R32" s="123"/>
      <c r="T32" s="124"/>
      <c r="U32" s="124"/>
    </row>
    <row r="33" spans="2:21" s="120" customFormat="1" ht="11.25">
      <c r="B33" s="121"/>
      <c r="D33" s="124"/>
      <c r="K33" s="121"/>
      <c r="L33" s="121"/>
      <c r="M33" s="121"/>
      <c r="N33" s="121"/>
      <c r="O33" s="123"/>
      <c r="P33" s="123"/>
      <c r="Q33" s="123"/>
      <c r="R33" s="123"/>
      <c r="T33" s="124"/>
      <c r="U33" s="124"/>
    </row>
    <row r="34" spans="2:21" s="120" customFormat="1" ht="11.25">
      <c r="B34" s="121"/>
      <c r="D34" s="124"/>
      <c r="K34" s="121"/>
      <c r="L34" s="121"/>
      <c r="M34" s="121"/>
      <c r="N34" s="121"/>
      <c r="O34" s="123"/>
      <c r="P34" s="123"/>
      <c r="Q34" s="123"/>
      <c r="R34" s="123"/>
      <c r="T34" s="124"/>
      <c r="U34" s="124"/>
    </row>
    <row r="35" spans="2:21" s="120" customFormat="1" ht="11.25">
      <c r="B35" s="121"/>
      <c r="D35" s="124"/>
      <c r="K35" s="121"/>
      <c r="L35" s="121"/>
      <c r="M35" s="121"/>
      <c r="N35" s="121"/>
      <c r="O35" s="123"/>
      <c r="P35" s="123"/>
      <c r="Q35" s="123"/>
      <c r="R35" s="123"/>
      <c r="T35" s="124"/>
      <c r="U35" s="124"/>
    </row>
    <row r="36" spans="2:21" s="120" customFormat="1" ht="11.25">
      <c r="B36" s="121"/>
      <c r="D36" s="124"/>
      <c r="K36" s="121"/>
      <c r="L36" s="121"/>
      <c r="M36" s="121"/>
      <c r="N36" s="121"/>
      <c r="O36" s="123"/>
      <c r="P36" s="123"/>
      <c r="Q36" s="123"/>
      <c r="R36" s="123"/>
      <c r="T36" s="124"/>
      <c r="U36" s="124"/>
    </row>
    <row r="37" spans="2:21" s="120" customFormat="1" ht="11.25">
      <c r="B37" s="121"/>
      <c r="D37" s="124"/>
      <c r="K37" s="121"/>
      <c r="L37" s="121"/>
      <c r="M37" s="121"/>
      <c r="N37" s="121"/>
      <c r="O37" s="123"/>
      <c r="P37" s="123"/>
      <c r="Q37" s="123"/>
      <c r="R37" s="123"/>
      <c r="T37" s="124"/>
      <c r="U37" s="124"/>
    </row>
    <row r="38" spans="2:21" s="120" customFormat="1" ht="11.25">
      <c r="B38" s="121"/>
      <c r="D38" s="124"/>
      <c r="K38" s="121"/>
      <c r="L38" s="121"/>
      <c r="M38" s="121"/>
      <c r="N38" s="121"/>
      <c r="O38" s="123"/>
      <c r="P38" s="123"/>
      <c r="Q38" s="123"/>
      <c r="R38" s="123"/>
      <c r="T38" s="124"/>
      <c r="U38" s="124"/>
    </row>
    <row r="39" spans="2:21" s="120" customFormat="1" ht="11.25">
      <c r="B39" s="121"/>
      <c r="D39" s="124"/>
      <c r="K39" s="121"/>
      <c r="L39" s="121"/>
      <c r="M39" s="121"/>
      <c r="N39" s="121"/>
      <c r="O39" s="123"/>
      <c r="P39" s="123"/>
      <c r="Q39" s="123"/>
      <c r="R39" s="123"/>
      <c r="T39" s="124"/>
      <c r="U39" s="124"/>
    </row>
    <row r="40" spans="2:21" s="120" customFormat="1" ht="11.25">
      <c r="B40" s="121"/>
      <c r="D40" s="124"/>
      <c r="K40" s="121"/>
      <c r="L40" s="121"/>
      <c r="M40" s="121"/>
      <c r="N40" s="121"/>
      <c r="O40" s="123"/>
      <c r="P40" s="123"/>
      <c r="Q40" s="123"/>
      <c r="R40" s="123"/>
      <c r="T40" s="124"/>
      <c r="U40" s="12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Orria4">
    <tabColor indexed="42"/>
  </sheetPr>
  <dimension ref="A2:EJ55"/>
  <sheetViews>
    <sheetView zoomScalePageLayoutView="0" workbookViewId="0" topLeftCell="B1">
      <selection activeCell="D37" sqref="D37"/>
    </sheetView>
  </sheetViews>
  <sheetFormatPr defaultColWidth="9.140625" defaultRowHeight="12.75"/>
  <cols>
    <col min="1" max="1" width="16.7109375" style="2" customWidth="1"/>
    <col min="2" max="2" width="10.140625" style="14" bestFit="1" customWidth="1"/>
    <col min="3" max="3" width="24.00390625" style="2" bestFit="1" customWidth="1"/>
    <col min="4" max="4" width="11.140625" style="8" customWidth="1"/>
    <col min="5" max="5" width="10.421875" style="2" customWidth="1"/>
    <col min="6" max="7" width="9.140625" style="2" customWidth="1"/>
    <col min="8" max="8" width="7.421875" style="2" customWidth="1"/>
    <col min="9" max="9" width="7.00390625" style="2" customWidth="1"/>
    <col min="10" max="10" width="17.00390625" style="2" bestFit="1" customWidth="1"/>
    <col min="11" max="13" width="10.140625" style="14" bestFit="1" customWidth="1"/>
    <col min="14" max="14" width="10.140625" style="9" bestFit="1" customWidth="1"/>
    <col min="15" max="15" width="9.8515625" style="9" bestFit="1" customWidth="1"/>
    <col min="16" max="16" width="9.8515625" style="2" bestFit="1" customWidth="1"/>
    <col min="17" max="18" width="15.57421875" style="8" bestFit="1" customWidth="1"/>
    <col min="19" max="21" width="9.140625" style="2" customWidth="1"/>
    <col min="22" max="140" width="9.140625" style="134" customWidth="1"/>
    <col min="141" max="16384" width="9.140625" style="2" customWidth="1"/>
  </cols>
  <sheetData>
    <row r="2" ht="11.25">
      <c r="D2" s="127" t="s">
        <v>101</v>
      </c>
    </row>
    <row r="3" spans="1:16" ht="11.25">
      <c r="A3" s="3" t="s">
        <v>79</v>
      </c>
      <c r="B3" s="16"/>
      <c r="C3" s="4"/>
      <c r="D3" s="126" t="s">
        <v>100</v>
      </c>
      <c r="E3" s="4"/>
      <c r="F3" s="4"/>
      <c r="G3" s="4"/>
      <c r="H3" s="4"/>
      <c r="I3" s="4"/>
      <c r="J3" s="4"/>
      <c r="M3" s="97"/>
      <c r="N3" s="96"/>
      <c r="O3" s="96" t="s">
        <v>98</v>
      </c>
      <c r="P3" s="115">
        <v>42277</v>
      </c>
    </row>
    <row r="5" spans="1:19" ht="38.25" customHeight="1">
      <c r="A5" s="5" t="s">
        <v>75</v>
      </c>
      <c r="B5" s="17" t="s">
        <v>70</v>
      </c>
      <c r="C5" s="6" t="s">
        <v>84</v>
      </c>
      <c r="D5" s="116" t="s">
        <v>44</v>
      </c>
      <c r="E5" s="5" t="s">
        <v>83</v>
      </c>
      <c r="F5" s="125" t="s">
        <v>71</v>
      </c>
      <c r="G5" s="125" t="s">
        <v>72</v>
      </c>
      <c r="H5" s="6" t="s">
        <v>81</v>
      </c>
      <c r="I5" s="6" t="s">
        <v>82</v>
      </c>
      <c r="J5" s="6" t="s">
        <v>73</v>
      </c>
      <c r="K5" s="117" t="s">
        <v>74</v>
      </c>
      <c r="L5" s="117" t="s">
        <v>90</v>
      </c>
      <c r="M5" s="117" t="s">
        <v>91</v>
      </c>
      <c r="N5" s="11" t="s">
        <v>80</v>
      </c>
      <c r="O5" s="13" t="s">
        <v>50</v>
      </c>
      <c r="P5" s="132" t="s">
        <v>96</v>
      </c>
      <c r="Q5" s="8" t="s">
        <v>93</v>
      </c>
      <c r="R5" s="8" t="s">
        <v>94</v>
      </c>
      <c r="S5" s="2" t="s">
        <v>97</v>
      </c>
    </row>
    <row r="6" spans="1:19" s="18" customFormat="1" ht="12.75">
      <c r="A6" s="143" t="s">
        <v>274</v>
      </c>
      <c r="B6" s="144">
        <v>42254</v>
      </c>
      <c r="C6" s="145" t="s">
        <v>287</v>
      </c>
      <c r="D6" s="146">
        <v>61.71</v>
      </c>
      <c r="K6" s="144">
        <v>42264</v>
      </c>
      <c r="L6" s="166">
        <f aca="true" t="shared" si="0" ref="L6:L21">+M6</f>
        <v>42284</v>
      </c>
      <c r="M6" s="144">
        <v>42284</v>
      </c>
      <c r="N6" s="153">
        <f>+P3-K6</f>
        <v>13</v>
      </c>
      <c r="O6" s="149">
        <f aca="true" t="shared" si="1" ref="O6:O11">+N6-30</f>
        <v>-17</v>
      </c>
      <c r="P6" s="18">
        <v>29</v>
      </c>
      <c r="Q6" s="146">
        <f aca="true" t="shared" si="2" ref="Q6:Q21">+N6*D6</f>
        <v>802.23</v>
      </c>
      <c r="R6" s="146">
        <f aca="true" t="shared" si="3" ref="R6:R21">+O6*D6</f>
        <v>-1049.07</v>
      </c>
      <c r="S6" s="150"/>
    </row>
    <row r="7" spans="1:19" s="18" customFormat="1" ht="12.75">
      <c r="A7" s="143" t="s">
        <v>277</v>
      </c>
      <c r="B7" s="144">
        <v>42257</v>
      </c>
      <c r="C7" s="145" t="s">
        <v>290</v>
      </c>
      <c r="D7" s="146">
        <v>422.76</v>
      </c>
      <c r="K7" s="144">
        <v>42265</v>
      </c>
      <c r="L7" s="166">
        <f t="shared" si="0"/>
        <v>42318</v>
      </c>
      <c r="M7" s="144">
        <v>42318</v>
      </c>
      <c r="N7" s="153">
        <f>+P3-K7</f>
        <v>12</v>
      </c>
      <c r="O7" s="149">
        <f t="shared" si="1"/>
        <v>-18</v>
      </c>
      <c r="P7" s="18">
        <v>22</v>
      </c>
      <c r="Q7" s="146">
        <f t="shared" si="2"/>
        <v>5073.12</v>
      </c>
      <c r="R7" s="146">
        <f t="shared" si="3"/>
        <v>-7609.68</v>
      </c>
      <c r="S7" s="150"/>
    </row>
    <row r="8" spans="1:22" s="18" customFormat="1" ht="12.75">
      <c r="A8" s="143" t="s">
        <v>391</v>
      </c>
      <c r="B8" s="144">
        <v>42268</v>
      </c>
      <c r="C8" s="145" t="s">
        <v>392</v>
      </c>
      <c r="D8" s="146">
        <v>290.4</v>
      </c>
      <c r="K8" s="144">
        <v>42277</v>
      </c>
      <c r="L8" s="144">
        <f t="shared" si="0"/>
        <v>42292</v>
      </c>
      <c r="M8" s="167">
        <v>42292</v>
      </c>
      <c r="N8" s="153">
        <f>+P3-K8</f>
        <v>0</v>
      </c>
      <c r="O8" s="153">
        <f t="shared" si="1"/>
        <v>-30</v>
      </c>
      <c r="P8" s="153">
        <v>21</v>
      </c>
      <c r="Q8" s="146">
        <f t="shared" si="2"/>
        <v>0</v>
      </c>
      <c r="R8" s="146">
        <f t="shared" si="3"/>
        <v>-8712</v>
      </c>
      <c r="T8" s="146"/>
      <c r="U8" s="146"/>
      <c r="V8" s="150"/>
    </row>
    <row r="9" spans="1:20" s="150" customFormat="1" ht="12.75">
      <c r="A9" s="143" t="s">
        <v>397</v>
      </c>
      <c r="B9" s="163">
        <v>42275</v>
      </c>
      <c r="C9" s="164" t="s">
        <v>398</v>
      </c>
      <c r="D9" s="165">
        <v>242</v>
      </c>
      <c r="K9" s="159">
        <v>42277</v>
      </c>
      <c r="L9" s="159">
        <f t="shared" si="0"/>
        <v>42292</v>
      </c>
      <c r="M9" s="159">
        <v>42292</v>
      </c>
      <c r="N9" s="153">
        <f>+P3-K9</f>
        <v>0</v>
      </c>
      <c r="O9" s="162">
        <f t="shared" si="1"/>
        <v>-30</v>
      </c>
      <c r="P9" s="162">
        <v>29</v>
      </c>
      <c r="Q9" s="146">
        <f t="shared" si="2"/>
        <v>0</v>
      </c>
      <c r="R9" s="146">
        <f t="shared" si="3"/>
        <v>-7260</v>
      </c>
      <c r="S9" s="161"/>
      <c r="T9" s="161"/>
    </row>
    <row r="10" spans="1:22" s="18" customFormat="1" ht="12.75">
      <c r="A10" s="143" t="s">
        <v>402</v>
      </c>
      <c r="B10" s="144">
        <v>42244</v>
      </c>
      <c r="C10" s="145" t="s">
        <v>403</v>
      </c>
      <c r="D10" s="146">
        <v>119.28</v>
      </c>
      <c r="K10" s="144">
        <v>42277</v>
      </c>
      <c r="L10" s="144">
        <f t="shared" si="0"/>
        <v>42292</v>
      </c>
      <c r="M10" s="144">
        <v>42292</v>
      </c>
      <c r="N10" s="153">
        <f>+P3-K10</f>
        <v>0</v>
      </c>
      <c r="O10" s="153">
        <f t="shared" si="1"/>
        <v>-30</v>
      </c>
      <c r="P10" s="153">
        <v>22</v>
      </c>
      <c r="Q10" s="146">
        <f t="shared" si="2"/>
        <v>0</v>
      </c>
      <c r="R10" s="146">
        <f t="shared" si="3"/>
        <v>-3578.4</v>
      </c>
      <c r="S10" s="150"/>
      <c r="T10" s="146"/>
      <c r="U10" s="146"/>
      <c r="V10" s="150"/>
    </row>
    <row r="11" spans="1:20" s="150" customFormat="1" ht="12.75">
      <c r="A11" s="143" t="s">
        <v>404</v>
      </c>
      <c r="B11" s="163">
        <v>42256</v>
      </c>
      <c r="C11" s="164" t="s">
        <v>405</v>
      </c>
      <c r="D11" s="165">
        <v>27.22</v>
      </c>
      <c r="G11" s="164"/>
      <c r="K11" s="159">
        <v>42277</v>
      </c>
      <c r="L11" s="159">
        <f t="shared" si="0"/>
        <v>42292</v>
      </c>
      <c r="M11" s="159">
        <v>42292</v>
      </c>
      <c r="N11" s="162">
        <f>+P3-K11</f>
        <v>0</v>
      </c>
      <c r="O11" s="162">
        <f t="shared" si="1"/>
        <v>-30</v>
      </c>
      <c r="P11" s="162">
        <v>22</v>
      </c>
      <c r="Q11" s="161">
        <f t="shared" si="2"/>
        <v>0</v>
      </c>
      <c r="R11" s="161">
        <f t="shared" si="3"/>
        <v>-816.5999999999999</v>
      </c>
      <c r="S11" s="161"/>
      <c r="T11" s="161"/>
    </row>
    <row r="12" spans="1:20" s="150" customFormat="1" ht="12.75">
      <c r="A12" s="143" t="s">
        <v>406</v>
      </c>
      <c r="B12" s="163">
        <v>42214</v>
      </c>
      <c r="C12" s="164" t="s">
        <v>407</v>
      </c>
      <c r="D12" s="165">
        <v>1548</v>
      </c>
      <c r="G12" s="164"/>
      <c r="K12" s="159">
        <v>42282</v>
      </c>
      <c r="L12" s="159">
        <f t="shared" si="0"/>
        <v>42292</v>
      </c>
      <c r="M12" s="159">
        <v>42292</v>
      </c>
      <c r="N12" s="162">
        <f>+P3-K12</f>
        <v>-5</v>
      </c>
      <c r="O12" s="162">
        <f aca="true" t="shared" si="4" ref="O12:O25">+N12-30</f>
        <v>-35</v>
      </c>
      <c r="P12" s="162">
        <v>29</v>
      </c>
      <c r="Q12" s="161">
        <f t="shared" si="2"/>
        <v>-7740</v>
      </c>
      <c r="R12" s="161">
        <f t="shared" si="3"/>
        <v>-54180</v>
      </c>
      <c r="S12" s="161"/>
      <c r="T12" s="161"/>
    </row>
    <row r="13" spans="1:20" s="150" customFormat="1" ht="12.75">
      <c r="A13" s="143" t="s">
        <v>408</v>
      </c>
      <c r="B13" s="163">
        <v>42247</v>
      </c>
      <c r="C13" s="164" t="s">
        <v>409</v>
      </c>
      <c r="D13" s="165">
        <v>170</v>
      </c>
      <c r="G13" s="164"/>
      <c r="K13" s="159">
        <v>42282</v>
      </c>
      <c r="L13" s="159">
        <f t="shared" si="0"/>
        <v>42292</v>
      </c>
      <c r="M13" s="159">
        <v>42292</v>
      </c>
      <c r="N13" s="162">
        <f>+P3-K13</f>
        <v>-5</v>
      </c>
      <c r="O13" s="162">
        <f t="shared" si="4"/>
        <v>-35</v>
      </c>
      <c r="P13" s="162">
        <v>29</v>
      </c>
      <c r="Q13" s="161">
        <f t="shared" si="2"/>
        <v>-850</v>
      </c>
      <c r="R13" s="161">
        <f t="shared" si="3"/>
        <v>-5950</v>
      </c>
      <c r="S13" s="161"/>
      <c r="T13" s="161"/>
    </row>
    <row r="14" spans="1:20" s="150" customFormat="1" ht="12.75">
      <c r="A14" s="143" t="s">
        <v>410</v>
      </c>
      <c r="B14" s="163">
        <v>42247</v>
      </c>
      <c r="C14" s="164" t="s">
        <v>411</v>
      </c>
      <c r="D14" s="165">
        <v>2029.24</v>
      </c>
      <c r="G14" s="164"/>
      <c r="K14" s="159">
        <v>42282</v>
      </c>
      <c r="L14" s="159">
        <f t="shared" si="0"/>
        <v>42292</v>
      </c>
      <c r="M14" s="159">
        <v>42292</v>
      </c>
      <c r="N14" s="162">
        <f>+P3-K14</f>
        <v>-5</v>
      </c>
      <c r="O14" s="162">
        <f t="shared" si="4"/>
        <v>-35</v>
      </c>
      <c r="P14" s="162">
        <v>29</v>
      </c>
      <c r="Q14" s="161">
        <f t="shared" si="2"/>
        <v>-10146.2</v>
      </c>
      <c r="R14" s="161">
        <f t="shared" si="3"/>
        <v>-71023.4</v>
      </c>
      <c r="S14" s="161"/>
      <c r="T14" s="161"/>
    </row>
    <row r="15" spans="1:20" s="150" customFormat="1" ht="12.75">
      <c r="A15" s="143" t="s">
        <v>412</v>
      </c>
      <c r="B15" s="163">
        <v>42251</v>
      </c>
      <c r="C15" s="164" t="s">
        <v>413</v>
      </c>
      <c r="D15" s="165">
        <v>2984.5</v>
      </c>
      <c r="G15" s="164"/>
      <c r="K15" s="159">
        <v>42282</v>
      </c>
      <c r="L15" s="159">
        <f t="shared" si="0"/>
        <v>42292</v>
      </c>
      <c r="M15" s="159">
        <v>42292</v>
      </c>
      <c r="N15" s="162">
        <f>+P3-K15</f>
        <v>-5</v>
      </c>
      <c r="O15" s="162">
        <f t="shared" si="4"/>
        <v>-35</v>
      </c>
      <c r="P15" s="162">
        <v>29</v>
      </c>
      <c r="Q15" s="161">
        <f t="shared" si="2"/>
        <v>-14922.5</v>
      </c>
      <c r="R15" s="161">
        <f t="shared" si="3"/>
        <v>-104457.5</v>
      </c>
      <c r="S15" s="161"/>
      <c r="T15" s="161"/>
    </row>
    <row r="16" spans="1:20" s="150" customFormat="1" ht="12.75">
      <c r="A16" s="143" t="s">
        <v>426</v>
      </c>
      <c r="B16" s="163">
        <v>42213</v>
      </c>
      <c r="C16" s="164" t="s">
        <v>427</v>
      </c>
      <c r="D16" s="165">
        <v>3500</v>
      </c>
      <c r="G16" s="164"/>
      <c r="K16" s="159">
        <v>42283</v>
      </c>
      <c r="L16" s="159">
        <f t="shared" si="0"/>
        <v>42292</v>
      </c>
      <c r="M16" s="159">
        <v>42292</v>
      </c>
      <c r="N16" s="162">
        <f>+P3-K16</f>
        <v>-6</v>
      </c>
      <c r="O16" s="162">
        <f t="shared" si="4"/>
        <v>-36</v>
      </c>
      <c r="P16" s="162">
        <v>29</v>
      </c>
      <c r="Q16" s="161">
        <f t="shared" si="2"/>
        <v>-21000</v>
      </c>
      <c r="R16" s="161">
        <f t="shared" si="3"/>
        <v>-126000</v>
      </c>
      <c r="S16" s="161"/>
      <c r="T16" s="161"/>
    </row>
    <row r="17" spans="1:20" s="150" customFormat="1" ht="12.75">
      <c r="A17" s="143" t="s">
        <v>428</v>
      </c>
      <c r="B17" s="163">
        <v>42277</v>
      </c>
      <c r="C17" s="142" t="s">
        <v>429</v>
      </c>
      <c r="D17" s="165">
        <v>1452</v>
      </c>
      <c r="G17" s="164"/>
      <c r="K17" s="159">
        <v>42283</v>
      </c>
      <c r="L17" s="159">
        <f t="shared" si="0"/>
        <v>42292</v>
      </c>
      <c r="M17" s="159">
        <v>42292</v>
      </c>
      <c r="N17" s="162">
        <f>+P3-K17</f>
        <v>-6</v>
      </c>
      <c r="O17" s="162">
        <f t="shared" si="4"/>
        <v>-36</v>
      </c>
      <c r="P17" s="162">
        <v>29</v>
      </c>
      <c r="Q17" s="161">
        <f t="shared" si="2"/>
        <v>-8712</v>
      </c>
      <c r="R17" s="161">
        <f t="shared" si="3"/>
        <v>-52272</v>
      </c>
      <c r="S17" s="161"/>
      <c r="T17" s="161"/>
    </row>
    <row r="18" spans="1:20" s="150" customFormat="1" ht="12.75">
      <c r="A18" s="143" t="s">
        <v>430</v>
      </c>
      <c r="B18" s="163">
        <v>42195</v>
      </c>
      <c r="C18" s="142" t="s">
        <v>315</v>
      </c>
      <c r="D18" s="165">
        <v>1548</v>
      </c>
      <c r="G18" s="164"/>
      <c r="K18" s="159">
        <v>42283</v>
      </c>
      <c r="L18" s="159">
        <f t="shared" si="0"/>
        <v>42292</v>
      </c>
      <c r="M18" s="159">
        <v>42292</v>
      </c>
      <c r="N18" s="162">
        <f>+P3-K18</f>
        <v>-6</v>
      </c>
      <c r="O18" s="162">
        <f t="shared" si="4"/>
        <v>-36</v>
      </c>
      <c r="P18" s="162">
        <v>29</v>
      </c>
      <c r="Q18" s="161">
        <f t="shared" si="2"/>
        <v>-9288</v>
      </c>
      <c r="R18" s="161">
        <f t="shared" si="3"/>
        <v>-55728</v>
      </c>
      <c r="S18" s="161"/>
      <c r="T18" s="161"/>
    </row>
    <row r="19" spans="1:20" s="150" customFormat="1" ht="12.75">
      <c r="A19" s="143" t="s">
        <v>431</v>
      </c>
      <c r="B19" s="163">
        <v>42277</v>
      </c>
      <c r="C19" s="142" t="s">
        <v>432</v>
      </c>
      <c r="D19" s="165">
        <v>456</v>
      </c>
      <c r="G19" s="164"/>
      <c r="K19" s="159">
        <v>42283</v>
      </c>
      <c r="L19" s="159">
        <f t="shared" si="0"/>
        <v>42292</v>
      </c>
      <c r="M19" s="159">
        <v>42292</v>
      </c>
      <c r="N19" s="162">
        <f>+P3-K19</f>
        <v>-6</v>
      </c>
      <c r="O19" s="162">
        <f t="shared" si="4"/>
        <v>-36</v>
      </c>
      <c r="P19" s="162">
        <v>29</v>
      </c>
      <c r="Q19" s="161">
        <f t="shared" si="2"/>
        <v>-2736</v>
      </c>
      <c r="R19" s="161">
        <f t="shared" si="3"/>
        <v>-16416</v>
      </c>
      <c r="S19" s="161"/>
      <c r="T19" s="161"/>
    </row>
    <row r="20" spans="1:20" s="150" customFormat="1" ht="12.75">
      <c r="A20" s="143" t="s">
        <v>433</v>
      </c>
      <c r="B20" s="163">
        <v>42277</v>
      </c>
      <c r="C20" s="142" t="s">
        <v>434</v>
      </c>
      <c r="D20" s="165">
        <v>429.55</v>
      </c>
      <c r="E20" s="168"/>
      <c r="G20" s="164"/>
      <c r="K20" s="159">
        <v>42283</v>
      </c>
      <c r="L20" s="159">
        <f t="shared" si="0"/>
        <v>42292</v>
      </c>
      <c r="M20" s="159">
        <v>42292</v>
      </c>
      <c r="N20" s="162">
        <f>+P3-K20</f>
        <v>-6</v>
      </c>
      <c r="O20" s="162">
        <f t="shared" si="4"/>
        <v>-36</v>
      </c>
      <c r="P20" s="162">
        <v>29</v>
      </c>
      <c r="Q20" s="161">
        <f t="shared" si="2"/>
        <v>-2577.3</v>
      </c>
      <c r="R20" s="161">
        <f t="shared" si="3"/>
        <v>-15463.800000000001</v>
      </c>
      <c r="S20" s="161"/>
      <c r="T20" s="161"/>
    </row>
    <row r="21" spans="1:20" s="150" customFormat="1" ht="12.75">
      <c r="A21" s="143" t="s">
        <v>435</v>
      </c>
      <c r="B21" s="163">
        <v>42262</v>
      </c>
      <c r="C21" s="142" t="s">
        <v>436</v>
      </c>
      <c r="D21" s="165">
        <v>489.87</v>
      </c>
      <c r="G21" s="164"/>
      <c r="K21" s="159">
        <v>42283</v>
      </c>
      <c r="L21" s="159">
        <f t="shared" si="0"/>
        <v>42292</v>
      </c>
      <c r="M21" s="159">
        <v>42292</v>
      </c>
      <c r="N21" s="162">
        <f>+P3-K21</f>
        <v>-6</v>
      </c>
      <c r="O21" s="162">
        <f t="shared" si="4"/>
        <v>-36</v>
      </c>
      <c r="P21" s="162">
        <v>29</v>
      </c>
      <c r="Q21" s="161">
        <f t="shared" si="2"/>
        <v>-2939.2200000000003</v>
      </c>
      <c r="R21" s="161">
        <f t="shared" si="3"/>
        <v>-17635.32</v>
      </c>
      <c r="S21" s="161"/>
      <c r="T21" s="161"/>
    </row>
    <row r="22" spans="1:21" s="150" customFormat="1" ht="12.75">
      <c r="A22" s="147" t="s">
        <v>274</v>
      </c>
      <c r="B22" s="159">
        <v>42254</v>
      </c>
      <c r="C22" s="170" t="s">
        <v>287</v>
      </c>
      <c r="D22" s="161">
        <v>61.71</v>
      </c>
      <c r="K22" s="159">
        <v>42264</v>
      </c>
      <c r="L22" s="159">
        <f>+M22</f>
        <v>42284</v>
      </c>
      <c r="M22" s="171">
        <v>42284</v>
      </c>
      <c r="N22" s="173">
        <f>+P3-K22</f>
        <v>13</v>
      </c>
      <c r="O22" s="172">
        <f t="shared" si="4"/>
        <v>-17</v>
      </c>
      <c r="P22" s="172">
        <v>29</v>
      </c>
      <c r="Q22" s="161">
        <f>+N22-K22</f>
        <v>-42251</v>
      </c>
      <c r="R22" s="162">
        <f>+Q22-30</f>
        <v>-42281</v>
      </c>
      <c r="T22" s="161"/>
      <c r="U22" s="161"/>
    </row>
    <row r="23" spans="1:21" s="150" customFormat="1" ht="12.75">
      <c r="A23" s="147" t="s">
        <v>277</v>
      </c>
      <c r="B23" s="159">
        <v>42257</v>
      </c>
      <c r="C23" s="170" t="s">
        <v>290</v>
      </c>
      <c r="D23" s="161">
        <v>422.76</v>
      </c>
      <c r="K23" s="159">
        <v>42265</v>
      </c>
      <c r="L23" s="159">
        <f>+M23</f>
        <v>42318</v>
      </c>
      <c r="M23" s="171">
        <v>42318</v>
      </c>
      <c r="N23" s="173">
        <f>+P3-K23</f>
        <v>12</v>
      </c>
      <c r="O23" s="172">
        <f t="shared" si="4"/>
        <v>-18</v>
      </c>
      <c r="P23" s="172">
        <v>22</v>
      </c>
      <c r="Q23" s="161">
        <f>+N23-K23</f>
        <v>-42253</v>
      </c>
      <c r="R23" s="162">
        <f>+Q23-30</f>
        <v>-42283</v>
      </c>
      <c r="T23" s="161"/>
      <c r="U23" s="161"/>
    </row>
    <row r="24" spans="1:21" s="150" customFormat="1" ht="12.75">
      <c r="A24" s="147" t="s">
        <v>397</v>
      </c>
      <c r="B24" s="159">
        <v>42275</v>
      </c>
      <c r="C24" s="160" t="s">
        <v>398</v>
      </c>
      <c r="D24" s="161">
        <v>242</v>
      </c>
      <c r="K24" s="159">
        <v>42277</v>
      </c>
      <c r="L24" s="159">
        <f>+M24</f>
        <v>42292</v>
      </c>
      <c r="M24" s="159">
        <v>42292</v>
      </c>
      <c r="N24" s="173">
        <f>+P3-K24</f>
        <v>0</v>
      </c>
      <c r="O24" s="172">
        <f t="shared" si="4"/>
        <v>-30</v>
      </c>
      <c r="P24" s="172">
        <v>29</v>
      </c>
      <c r="Q24" s="161">
        <f>+N24-K24</f>
        <v>-42277</v>
      </c>
      <c r="R24" s="162">
        <f>+Q24-30</f>
        <v>-42307</v>
      </c>
      <c r="T24" s="161"/>
      <c r="U24" s="161"/>
    </row>
    <row r="25" spans="1:22" s="18" customFormat="1" ht="12.75">
      <c r="A25" s="143" t="s">
        <v>420</v>
      </c>
      <c r="B25" s="144">
        <v>42265</v>
      </c>
      <c r="C25" s="145" t="s">
        <v>421</v>
      </c>
      <c r="D25" s="146">
        <v>331.54</v>
      </c>
      <c r="K25" s="144">
        <v>42283</v>
      </c>
      <c r="L25" s="144">
        <f>+M25</f>
        <v>42292</v>
      </c>
      <c r="M25" s="144">
        <v>42292</v>
      </c>
      <c r="N25" s="174">
        <f>+P3-K25</f>
        <v>-6</v>
      </c>
      <c r="O25" s="153">
        <f t="shared" si="4"/>
        <v>-36</v>
      </c>
      <c r="P25" s="153">
        <v>29</v>
      </c>
      <c r="Q25" s="161">
        <f>+N25-K25</f>
        <v>-42289</v>
      </c>
      <c r="R25" s="162">
        <f>+Q25-30</f>
        <v>-42319</v>
      </c>
      <c r="S25" s="150"/>
      <c r="T25" s="146"/>
      <c r="U25" s="146"/>
      <c r="V25" s="150"/>
    </row>
    <row r="26" spans="1:140" s="18" customFormat="1" ht="12.75">
      <c r="A26" s="164"/>
      <c r="B26" s="163"/>
      <c r="C26" s="164"/>
      <c r="D26" s="165"/>
      <c r="G26" s="164"/>
      <c r="K26" s="144"/>
      <c r="L26" s="144"/>
      <c r="M26" s="144"/>
      <c r="N26" s="162"/>
      <c r="O26" s="162"/>
      <c r="P26" s="162"/>
      <c r="Q26" s="161"/>
      <c r="R26" s="161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  <c r="CX26" s="150"/>
      <c r="CY26" s="150"/>
      <c r="CZ26" s="150"/>
      <c r="DA26" s="150"/>
      <c r="DB26" s="150"/>
      <c r="DC26" s="150"/>
      <c r="DD26" s="150"/>
      <c r="DE26" s="150"/>
      <c r="DF26" s="150"/>
      <c r="DG26" s="150"/>
      <c r="DH26" s="150"/>
      <c r="DI26" s="150"/>
      <c r="DJ26" s="150"/>
      <c r="DK26" s="150"/>
      <c r="DL26" s="150"/>
      <c r="DM26" s="150"/>
      <c r="DN26" s="150"/>
      <c r="DO26" s="150"/>
      <c r="DP26" s="150"/>
      <c r="DQ26" s="150"/>
      <c r="DR26" s="150"/>
      <c r="DS26" s="150"/>
      <c r="DT26" s="150"/>
      <c r="DU26" s="150"/>
      <c r="DV26" s="150"/>
      <c r="DW26" s="150"/>
      <c r="DX26" s="150"/>
      <c r="DY26" s="150"/>
      <c r="DZ26" s="150"/>
      <c r="EA26" s="150"/>
      <c r="EB26" s="150"/>
      <c r="EC26" s="150"/>
      <c r="ED26" s="150"/>
      <c r="EE26" s="150"/>
      <c r="EF26" s="150"/>
      <c r="EG26" s="150"/>
      <c r="EH26" s="150"/>
      <c r="EI26" s="150"/>
      <c r="EJ26" s="150"/>
    </row>
    <row r="27" spans="1:140" s="18" customFormat="1" ht="12.75">
      <c r="A27" s="164"/>
      <c r="B27" s="163"/>
      <c r="C27" s="164"/>
      <c r="D27" s="165"/>
      <c r="G27" s="164"/>
      <c r="K27" s="144"/>
      <c r="L27" s="144"/>
      <c r="M27" s="144"/>
      <c r="N27" s="162"/>
      <c r="O27" s="162"/>
      <c r="P27" s="162"/>
      <c r="Q27" s="161"/>
      <c r="R27" s="161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  <c r="BE27" s="150"/>
      <c r="BF27" s="150"/>
      <c r="BG27" s="150"/>
      <c r="BH27" s="150"/>
      <c r="BI27" s="150"/>
      <c r="BJ27" s="150"/>
      <c r="BK27" s="150"/>
      <c r="BL27" s="150"/>
      <c r="BM27" s="150"/>
      <c r="BN27" s="150"/>
      <c r="BO27" s="150"/>
      <c r="BP27" s="150"/>
      <c r="BQ27" s="150"/>
      <c r="BR27" s="150"/>
      <c r="BS27" s="150"/>
      <c r="BT27" s="150"/>
      <c r="BU27" s="150"/>
      <c r="BV27" s="150"/>
      <c r="BW27" s="150"/>
      <c r="BX27" s="150"/>
      <c r="BY27" s="150"/>
      <c r="BZ27" s="150"/>
      <c r="CA27" s="150"/>
      <c r="CB27" s="150"/>
      <c r="CC27" s="150"/>
      <c r="CD27" s="150"/>
      <c r="CE27" s="150"/>
      <c r="CF27" s="150"/>
      <c r="CG27" s="150"/>
      <c r="CH27" s="150"/>
      <c r="CI27" s="150"/>
      <c r="CJ27" s="150"/>
      <c r="CK27" s="150"/>
      <c r="CL27" s="150"/>
      <c r="CM27" s="150"/>
      <c r="CN27" s="150"/>
      <c r="CO27" s="150"/>
      <c r="CP27" s="150"/>
      <c r="CQ27" s="150"/>
      <c r="CR27" s="150"/>
      <c r="CS27" s="150"/>
      <c r="CT27" s="150"/>
      <c r="CU27" s="150"/>
      <c r="CV27" s="150"/>
      <c r="CW27" s="150"/>
      <c r="CX27" s="150"/>
      <c r="CY27" s="150"/>
      <c r="CZ27" s="150"/>
      <c r="DA27" s="150"/>
      <c r="DB27" s="150"/>
      <c r="DC27" s="150"/>
      <c r="DD27" s="150"/>
      <c r="DE27" s="150"/>
      <c r="DF27" s="150"/>
      <c r="DG27" s="150"/>
      <c r="DH27" s="150"/>
      <c r="DI27" s="150"/>
      <c r="DJ27" s="150"/>
      <c r="DK27" s="150"/>
      <c r="DL27" s="150"/>
      <c r="DM27" s="150"/>
      <c r="DN27" s="150"/>
      <c r="DO27" s="150"/>
      <c r="DP27" s="150"/>
      <c r="DQ27" s="150"/>
      <c r="DR27" s="150"/>
      <c r="DS27" s="150"/>
      <c r="DT27" s="150"/>
      <c r="DU27" s="150"/>
      <c r="DV27" s="150"/>
      <c r="DW27" s="150"/>
      <c r="DX27" s="150"/>
      <c r="DY27" s="150"/>
      <c r="DZ27" s="150"/>
      <c r="EA27" s="150"/>
      <c r="EB27" s="150"/>
      <c r="EC27" s="150"/>
      <c r="ED27" s="150"/>
      <c r="EE27" s="150"/>
      <c r="EF27" s="150"/>
      <c r="EG27" s="150"/>
      <c r="EH27" s="150"/>
      <c r="EI27" s="150"/>
      <c r="EJ27" s="150"/>
    </row>
    <row r="28" spans="1:140" s="18" customFormat="1" ht="12.75">
      <c r="A28" s="164"/>
      <c r="B28" s="163"/>
      <c r="C28" s="164"/>
      <c r="D28" s="165"/>
      <c r="G28" s="164"/>
      <c r="K28" s="144"/>
      <c r="L28" s="144"/>
      <c r="M28" s="144"/>
      <c r="N28" s="162"/>
      <c r="O28" s="162"/>
      <c r="P28" s="162"/>
      <c r="Q28" s="161"/>
      <c r="R28" s="161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  <c r="BI28" s="150"/>
      <c r="BJ28" s="150"/>
      <c r="BK28" s="150"/>
      <c r="BL28" s="150"/>
      <c r="BM28" s="150"/>
      <c r="BN28" s="150"/>
      <c r="BO28" s="150"/>
      <c r="BP28" s="150"/>
      <c r="BQ28" s="150"/>
      <c r="BR28" s="150"/>
      <c r="BS28" s="150"/>
      <c r="BT28" s="150"/>
      <c r="BU28" s="150"/>
      <c r="BV28" s="150"/>
      <c r="BW28" s="150"/>
      <c r="BX28" s="150"/>
      <c r="BY28" s="150"/>
      <c r="BZ28" s="150"/>
      <c r="CA28" s="150"/>
      <c r="CB28" s="150"/>
      <c r="CC28" s="150"/>
      <c r="CD28" s="150"/>
      <c r="CE28" s="150"/>
      <c r="CF28" s="150"/>
      <c r="CG28" s="150"/>
      <c r="CH28" s="150"/>
      <c r="CI28" s="150"/>
      <c r="CJ28" s="150"/>
      <c r="CK28" s="150"/>
      <c r="CL28" s="150"/>
      <c r="CM28" s="150"/>
      <c r="CN28" s="150"/>
      <c r="CO28" s="150"/>
      <c r="CP28" s="150"/>
      <c r="CQ28" s="150"/>
      <c r="CR28" s="150"/>
      <c r="CS28" s="150"/>
      <c r="CT28" s="150"/>
      <c r="CU28" s="150"/>
      <c r="CV28" s="150"/>
      <c r="CW28" s="150"/>
      <c r="CX28" s="150"/>
      <c r="CY28" s="150"/>
      <c r="CZ28" s="150"/>
      <c r="DA28" s="150"/>
      <c r="DB28" s="150"/>
      <c r="DC28" s="150"/>
      <c r="DD28" s="150"/>
      <c r="DE28" s="150"/>
      <c r="DF28" s="150"/>
      <c r="DG28" s="150"/>
      <c r="DH28" s="150"/>
      <c r="DI28" s="150"/>
      <c r="DJ28" s="150"/>
      <c r="DK28" s="150"/>
      <c r="DL28" s="150"/>
      <c r="DM28" s="150"/>
      <c r="DN28" s="150"/>
      <c r="DO28" s="150"/>
      <c r="DP28" s="150"/>
      <c r="DQ28" s="150"/>
      <c r="DR28" s="150"/>
      <c r="DS28" s="150"/>
      <c r="DT28" s="150"/>
      <c r="DU28" s="150"/>
      <c r="DV28" s="150"/>
      <c r="DW28" s="150"/>
      <c r="DX28" s="150"/>
      <c r="DY28" s="150"/>
      <c r="DZ28" s="150"/>
      <c r="EA28" s="150"/>
      <c r="EB28" s="150"/>
      <c r="EC28" s="150"/>
      <c r="ED28" s="150"/>
      <c r="EE28" s="150"/>
      <c r="EF28" s="150"/>
      <c r="EG28" s="150"/>
      <c r="EH28" s="150"/>
      <c r="EI28" s="150"/>
      <c r="EJ28" s="150"/>
    </row>
    <row r="29" spans="1:140" s="18" customFormat="1" ht="12.75">
      <c r="A29" s="164"/>
      <c r="B29" s="163"/>
      <c r="C29" s="164"/>
      <c r="D29" s="165"/>
      <c r="G29" s="164"/>
      <c r="K29" s="144"/>
      <c r="L29" s="144"/>
      <c r="M29" s="144"/>
      <c r="N29" s="162"/>
      <c r="O29" s="162"/>
      <c r="P29" s="162"/>
      <c r="Q29" s="161"/>
      <c r="R29" s="161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  <c r="BI29" s="150"/>
      <c r="BJ29" s="150"/>
      <c r="BK29" s="150"/>
      <c r="BL29" s="150"/>
      <c r="BM29" s="150"/>
      <c r="BN29" s="150"/>
      <c r="BO29" s="150"/>
      <c r="BP29" s="150"/>
      <c r="BQ29" s="150"/>
      <c r="BR29" s="150"/>
      <c r="BS29" s="150"/>
      <c r="BT29" s="150"/>
      <c r="BU29" s="150"/>
      <c r="BV29" s="150"/>
      <c r="BW29" s="150"/>
      <c r="BX29" s="150"/>
      <c r="BY29" s="150"/>
      <c r="BZ29" s="150"/>
      <c r="CA29" s="150"/>
      <c r="CB29" s="150"/>
      <c r="CC29" s="150"/>
      <c r="CD29" s="150"/>
      <c r="CE29" s="150"/>
      <c r="CF29" s="150"/>
      <c r="CG29" s="150"/>
      <c r="CH29" s="150"/>
      <c r="CI29" s="150"/>
      <c r="CJ29" s="150"/>
      <c r="CK29" s="150"/>
      <c r="CL29" s="150"/>
      <c r="CM29" s="150"/>
      <c r="CN29" s="150"/>
      <c r="CO29" s="150"/>
      <c r="CP29" s="150"/>
      <c r="CQ29" s="150"/>
      <c r="CR29" s="150"/>
      <c r="CS29" s="150"/>
      <c r="CT29" s="150"/>
      <c r="CU29" s="150"/>
      <c r="CV29" s="150"/>
      <c r="CW29" s="150"/>
      <c r="CX29" s="150"/>
      <c r="CY29" s="150"/>
      <c r="CZ29" s="150"/>
      <c r="DA29" s="150"/>
      <c r="DB29" s="150"/>
      <c r="DC29" s="150"/>
      <c r="DD29" s="150"/>
      <c r="DE29" s="150"/>
      <c r="DF29" s="150"/>
      <c r="DG29" s="150"/>
      <c r="DH29" s="150"/>
      <c r="DI29" s="150"/>
      <c r="DJ29" s="150"/>
      <c r="DK29" s="150"/>
      <c r="DL29" s="150"/>
      <c r="DM29" s="150"/>
      <c r="DN29" s="150"/>
      <c r="DO29" s="150"/>
      <c r="DP29" s="150"/>
      <c r="DQ29" s="150"/>
      <c r="DR29" s="150"/>
      <c r="DS29" s="150"/>
      <c r="DT29" s="150"/>
      <c r="DU29" s="150"/>
      <c r="DV29" s="150"/>
      <c r="DW29" s="150"/>
      <c r="DX29" s="150"/>
      <c r="DY29" s="150"/>
      <c r="DZ29" s="150"/>
      <c r="EA29" s="150"/>
      <c r="EB29" s="150"/>
      <c r="EC29" s="150"/>
      <c r="ED29" s="150"/>
      <c r="EE29" s="150"/>
      <c r="EF29" s="150"/>
      <c r="EG29" s="150"/>
      <c r="EH29" s="150"/>
      <c r="EI29" s="150"/>
      <c r="EJ29" s="150"/>
    </row>
    <row r="30" spans="1:140" s="18" customFormat="1" ht="12.75">
      <c r="A30" s="164"/>
      <c r="B30" s="163"/>
      <c r="C30" s="164"/>
      <c r="D30" s="165"/>
      <c r="G30" s="164"/>
      <c r="K30" s="144"/>
      <c r="L30" s="144"/>
      <c r="M30" s="144"/>
      <c r="N30" s="162"/>
      <c r="O30" s="162"/>
      <c r="P30" s="162"/>
      <c r="Q30" s="161"/>
      <c r="R30" s="161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  <c r="BE30" s="150"/>
      <c r="BF30" s="150"/>
      <c r="BG30" s="150"/>
      <c r="BH30" s="150"/>
      <c r="BI30" s="150"/>
      <c r="BJ30" s="150"/>
      <c r="BK30" s="150"/>
      <c r="BL30" s="150"/>
      <c r="BM30" s="150"/>
      <c r="BN30" s="150"/>
      <c r="BO30" s="150"/>
      <c r="BP30" s="150"/>
      <c r="BQ30" s="150"/>
      <c r="BR30" s="150"/>
      <c r="BS30" s="150"/>
      <c r="BT30" s="150"/>
      <c r="BU30" s="150"/>
      <c r="BV30" s="150"/>
      <c r="BW30" s="150"/>
      <c r="BX30" s="150"/>
      <c r="BY30" s="150"/>
      <c r="BZ30" s="150"/>
      <c r="CA30" s="150"/>
      <c r="CB30" s="150"/>
      <c r="CC30" s="150"/>
      <c r="CD30" s="150"/>
      <c r="CE30" s="150"/>
      <c r="CF30" s="150"/>
      <c r="CG30" s="150"/>
      <c r="CH30" s="150"/>
      <c r="CI30" s="150"/>
      <c r="CJ30" s="150"/>
      <c r="CK30" s="150"/>
      <c r="CL30" s="150"/>
      <c r="CM30" s="150"/>
      <c r="CN30" s="150"/>
      <c r="CO30" s="150"/>
      <c r="CP30" s="150"/>
      <c r="CQ30" s="150"/>
      <c r="CR30" s="150"/>
      <c r="CS30" s="150"/>
      <c r="CT30" s="150"/>
      <c r="CU30" s="150"/>
      <c r="CV30" s="150"/>
      <c r="CW30" s="150"/>
      <c r="CX30" s="150"/>
      <c r="CY30" s="150"/>
      <c r="CZ30" s="150"/>
      <c r="DA30" s="150"/>
      <c r="DB30" s="150"/>
      <c r="DC30" s="150"/>
      <c r="DD30" s="150"/>
      <c r="DE30" s="150"/>
      <c r="DF30" s="150"/>
      <c r="DG30" s="150"/>
      <c r="DH30" s="150"/>
      <c r="DI30" s="150"/>
      <c r="DJ30" s="150"/>
      <c r="DK30" s="150"/>
      <c r="DL30" s="150"/>
      <c r="DM30" s="150"/>
      <c r="DN30" s="150"/>
      <c r="DO30" s="150"/>
      <c r="DP30" s="150"/>
      <c r="DQ30" s="150"/>
      <c r="DR30" s="150"/>
      <c r="DS30" s="150"/>
      <c r="DT30" s="150"/>
      <c r="DU30" s="150"/>
      <c r="DV30" s="150"/>
      <c r="DW30" s="150"/>
      <c r="DX30" s="150"/>
      <c r="DY30" s="150"/>
      <c r="DZ30" s="150"/>
      <c r="EA30" s="150"/>
      <c r="EB30" s="150"/>
      <c r="EC30" s="150"/>
      <c r="ED30" s="150"/>
      <c r="EE30" s="150"/>
      <c r="EF30" s="150"/>
      <c r="EG30" s="150"/>
      <c r="EH30" s="150"/>
      <c r="EI30" s="150"/>
      <c r="EJ30" s="150"/>
    </row>
    <row r="31" spans="1:140" s="18" customFormat="1" ht="12.75">
      <c r="A31" s="164"/>
      <c r="B31" s="163"/>
      <c r="C31" s="164"/>
      <c r="D31" s="165"/>
      <c r="G31" s="164"/>
      <c r="K31" s="144"/>
      <c r="L31" s="144"/>
      <c r="M31" s="144"/>
      <c r="N31" s="162"/>
      <c r="O31" s="162"/>
      <c r="P31" s="162"/>
      <c r="Q31" s="161"/>
      <c r="R31" s="161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0"/>
      <c r="AX31" s="150"/>
      <c r="AY31" s="150"/>
      <c r="AZ31" s="150"/>
      <c r="BA31" s="150"/>
      <c r="BB31" s="150"/>
      <c r="BC31" s="150"/>
      <c r="BD31" s="150"/>
      <c r="BE31" s="150"/>
      <c r="BF31" s="150"/>
      <c r="BG31" s="150"/>
      <c r="BH31" s="150"/>
      <c r="BI31" s="150"/>
      <c r="BJ31" s="150"/>
      <c r="BK31" s="150"/>
      <c r="BL31" s="150"/>
      <c r="BM31" s="150"/>
      <c r="BN31" s="150"/>
      <c r="BO31" s="150"/>
      <c r="BP31" s="150"/>
      <c r="BQ31" s="150"/>
      <c r="BR31" s="150"/>
      <c r="BS31" s="150"/>
      <c r="BT31" s="150"/>
      <c r="BU31" s="150"/>
      <c r="BV31" s="150"/>
      <c r="BW31" s="150"/>
      <c r="BX31" s="150"/>
      <c r="BY31" s="150"/>
      <c r="BZ31" s="150"/>
      <c r="CA31" s="150"/>
      <c r="CB31" s="150"/>
      <c r="CC31" s="150"/>
      <c r="CD31" s="150"/>
      <c r="CE31" s="150"/>
      <c r="CF31" s="150"/>
      <c r="CG31" s="150"/>
      <c r="CH31" s="150"/>
      <c r="CI31" s="150"/>
      <c r="CJ31" s="150"/>
      <c r="CK31" s="150"/>
      <c r="CL31" s="150"/>
      <c r="CM31" s="150"/>
      <c r="CN31" s="150"/>
      <c r="CO31" s="150"/>
      <c r="CP31" s="150"/>
      <c r="CQ31" s="150"/>
      <c r="CR31" s="150"/>
      <c r="CS31" s="150"/>
      <c r="CT31" s="150"/>
      <c r="CU31" s="150"/>
      <c r="CV31" s="150"/>
      <c r="CW31" s="150"/>
      <c r="CX31" s="150"/>
      <c r="CY31" s="150"/>
      <c r="CZ31" s="150"/>
      <c r="DA31" s="150"/>
      <c r="DB31" s="150"/>
      <c r="DC31" s="150"/>
      <c r="DD31" s="150"/>
      <c r="DE31" s="150"/>
      <c r="DF31" s="150"/>
      <c r="DG31" s="150"/>
      <c r="DH31" s="150"/>
      <c r="DI31" s="150"/>
      <c r="DJ31" s="150"/>
      <c r="DK31" s="150"/>
      <c r="DL31" s="150"/>
      <c r="DM31" s="150"/>
      <c r="DN31" s="150"/>
      <c r="DO31" s="150"/>
      <c r="DP31" s="150"/>
      <c r="DQ31" s="150"/>
      <c r="DR31" s="150"/>
      <c r="DS31" s="150"/>
      <c r="DT31" s="150"/>
      <c r="DU31" s="150"/>
      <c r="DV31" s="150"/>
      <c r="DW31" s="150"/>
      <c r="DX31" s="150"/>
      <c r="DY31" s="150"/>
      <c r="DZ31" s="150"/>
      <c r="EA31" s="150"/>
      <c r="EB31" s="150"/>
      <c r="EC31" s="150"/>
      <c r="ED31" s="150"/>
      <c r="EE31" s="150"/>
      <c r="EF31" s="150"/>
      <c r="EG31" s="150"/>
      <c r="EH31" s="150"/>
      <c r="EI31" s="150"/>
      <c r="EJ31" s="150"/>
    </row>
    <row r="32" spans="1:140" s="18" customFormat="1" ht="12.75">
      <c r="A32" s="164"/>
      <c r="B32" s="163"/>
      <c r="C32" s="164"/>
      <c r="D32" s="165"/>
      <c r="G32" s="164"/>
      <c r="K32" s="144"/>
      <c r="L32" s="144"/>
      <c r="M32" s="144"/>
      <c r="N32" s="162"/>
      <c r="O32" s="162"/>
      <c r="P32" s="162"/>
      <c r="Q32" s="161"/>
      <c r="R32" s="161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  <c r="BI32" s="150"/>
      <c r="BJ32" s="150"/>
      <c r="BK32" s="150"/>
      <c r="BL32" s="150"/>
      <c r="BM32" s="150"/>
      <c r="BN32" s="150"/>
      <c r="BO32" s="150"/>
      <c r="BP32" s="150"/>
      <c r="BQ32" s="150"/>
      <c r="BR32" s="150"/>
      <c r="BS32" s="150"/>
      <c r="BT32" s="150"/>
      <c r="BU32" s="150"/>
      <c r="BV32" s="150"/>
      <c r="BW32" s="150"/>
      <c r="BX32" s="150"/>
      <c r="BY32" s="150"/>
      <c r="BZ32" s="150"/>
      <c r="CA32" s="150"/>
      <c r="CB32" s="150"/>
      <c r="CC32" s="150"/>
      <c r="CD32" s="150"/>
      <c r="CE32" s="150"/>
      <c r="CF32" s="150"/>
      <c r="CG32" s="150"/>
      <c r="CH32" s="150"/>
      <c r="CI32" s="150"/>
      <c r="CJ32" s="150"/>
      <c r="CK32" s="150"/>
      <c r="CL32" s="150"/>
      <c r="CM32" s="150"/>
      <c r="CN32" s="150"/>
      <c r="CO32" s="150"/>
      <c r="CP32" s="150"/>
      <c r="CQ32" s="150"/>
      <c r="CR32" s="150"/>
      <c r="CS32" s="150"/>
      <c r="CT32" s="150"/>
      <c r="CU32" s="150"/>
      <c r="CV32" s="150"/>
      <c r="CW32" s="150"/>
      <c r="CX32" s="150"/>
      <c r="CY32" s="150"/>
      <c r="CZ32" s="150"/>
      <c r="DA32" s="150"/>
      <c r="DB32" s="150"/>
      <c r="DC32" s="150"/>
      <c r="DD32" s="150"/>
      <c r="DE32" s="150"/>
      <c r="DF32" s="150"/>
      <c r="DG32" s="150"/>
      <c r="DH32" s="150"/>
      <c r="DI32" s="150"/>
      <c r="DJ32" s="150"/>
      <c r="DK32" s="150"/>
      <c r="DL32" s="150"/>
      <c r="DM32" s="150"/>
      <c r="DN32" s="150"/>
      <c r="DO32" s="150"/>
      <c r="DP32" s="150"/>
      <c r="DQ32" s="150"/>
      <c r="DR32" s="150"/>
      <c r="DS32" s="150"/>
      <c r="DT32" s="150"/>
      <c r="DU32" s="150"/>
      <c r="DV32" s="150"/>
      <c r="DW32" s="150"/>
      <c r="DX32" s="150"/>
      <c r="DY32" s="150"/>
      <c r="DZ32" s="150"/>
      <c r="EA32" s="150"/>
      <c r="EB32" s="150"/>
      <c r="EC32" s="150"/>
      <c r="ED32" s="150"/>
      <c r="EE32" s="150"/>
      <c r="EF32" s="150"/>
      <c r="EG32" s="150"/>
      <c r="EH32" s="150"/>
      <c r="EI32" s="150"/>
      <c r="EJ32" s="150"/>
    </row>
    <row r="33" spans="1:140" s="18" customFormat="1" ht="12.75">
      <c r="A33" s="164"/>
      <c r="B33" s="163"/>
      <c r="C33" s="164"/>
      <c r="D33" s="165"/>
      <c r="G33" s="164"/>
      <c r="K33" s="144"/>
      <c r="L33" s="144"/>
      <c r="M33" s="144"/>
      <c r="N33" s="162"/>
      <c r="O33" s="162"/>
      <c r="P33" s="162"/>
      <c r="Q33" s="161"/>
      <c r="R33" s="161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150"/>
      <c r="BD33" s="150"/>
      <c r="BE33" s="150"/>
      <c r="BF33" s="150"/>
      <c r="BG33" s="150"/>
      <c r="BH33" s="150"/>
      <c r="BI33" s="150"/>
      <c r="BJ33" s="150"/>
      <c r="BK33" s="150"/>
      <c r="BL33" s="150"/>
      <c r="BM33" s="150"/>
      <c r="BN33" s="150"/>
      <c r="BO33" s="150"/>
      <c r="BP33" s="150"/>
      <c r="BQ33" s="150"/>
      <c r="BR33" s="150"/>
      <c r="BS33" s="150"/>
      <c r="BT33" s="150"/>
      <c r="BU33" s="150"/>
      <c r="BV33" s="150"/>
      <c r="BW33" s="150"/>
      <c r="BX33" s="150"/>
      <c r="BY33" s="150"/>
      <c r="BZ33" s="150"/>
      <c r="CA33" s="150"/>
      <c r="CB33" s="150"/>
      <c r="CC33" s="150"/>
      <c r="CD33" s="150"/>
      <c r="CE33" s="150"/>
      <c r="CF33" s="150"/>
      <c r="CG33" s="150"/>
      <c r="CH33" s="150"/>
      <c r="CI33" s="150"/>
      <c r="CJ33" s="150"/>
      <c r="CK33" s="150"/>
      <c r="CL33" s="150"/>
      <c r="CM33" s="150"/>
      <c r="CN33" s="150"/>
      <c r="CO33" s="150"/>
      <c r="CP33" s="150"/>
      <c r="CQ33" s="150"/>
      <c r="CR33" s="150"/>
      <c r="CS33" s="150"/>
      <c r="CT33" s="150"/>
      <c r="CU33" s="150"/>
      <c r="CV33" s="150"/>
      <c r="CW33" s="150"/>
      <c r="CX33" s="150"/>
      <c r="CY33" s="150"/>
      <c r="CZ33" s="150"/>
      <c r="DA33" s="150"/>
      <c r="DB33" s="150"/>
      <c r="DC33" s="150"/>
      <c r="DD33" s="150"/>
      <c r="DE33" s="150"/>
      <c r="DF33" s="150"/>
      <c r="DG33" s="150"/>
      <c r="DH33" s="150"/>
      <c r="DI33" s="150"/>
      <c r="DJ33" s="150"/>
      <c r="DK33" s="150"/>
      <c r="DL33" s="150"/>
      <c r="DM33" s="150"/>
      <c r="DN33" s="150"/>
      <c r="DO33" s="150"/>
      <c r="DP33" s="150"/>
      <c r="DQ33" s="150"/>
      <c r="DR33" s="150"/>
      <c r="DS33" s="150"/>
      <c r="DT33" s="150"/>
      <c r="DU33" s="150"/>
      <c r="DV33" s="150"/>
      <c r="DW33" s="150"/>
      <c r="DX33" s="150"/>
      <c r="DY33" s="150"/>
      <c r="DZ33" s="150"/>
      <c r="EA33" s="150"/>
      <c r="EB33" s="150"/>
      <c r="EC33" s="150"/>
      <c r="ED33" s="150"/>
      <c r="EE33" s="150"/>
      <c r="EF33" s="150"/>
      <c r="EG33" s="150"/>
      <c r="EH33" s="150"/>
      <c r="EI33" s="150"/>
      <c r="EJ33" s="150"/>
    </row>
    <row r="34" spans="1:140" s="18" customFormat="1" ht="12.75">
      <c r="A34" s="164"/>
      <c r="B34" s="163"/>
      <c r="C34" s="164"/>
      <c r="D34" s="165"/>
      <c r="G34" s="164"/>
      <c r="K34" s="144"/>
      <c r="L34" s="144"/>
      <c r="M34" s="144"/>
      <c r="N34" s="162"/>
      <c r="O34" s="162"/>
      <c r="P34" s="162"/>
      <c r="Q34" s="161"/>
      <c r="R34" s="161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0"/>
      <c r="BG34" s="150"/>
      <c r="BH34" s="150"/>
      <c r="BI34" s="150"/>
      <c r="BJ34" s="150"/>
      <c r="BK34" s="150"/>
      <c r="BL34" s="150"/>
      <c r="BM34" s="150"/>
      <c r="BN34" s="150"/>
      <c r="BO34" s="150"/>
      <c r="BP34" s="150"/>
      <c r="BQ34" s="150"/>
      <c r="BR34" s="150"/>
      <c r="BS34" s="150"/>
      <c r="BT34" s="150"/>
      <c r="BU34" s="150"/>
      <c r="BV34" s="150"/>
      <c r="BW34" s="150"/>
      <c r="BX34" s="150"/>
      <c r="BY34" s="150"/>
      <c r="BZ34" s="150"/>
      <c r="CA34" s="150"/>
      <c r="CB34" s="150"/>
      <c r="CC34" s="150"/>
      <c r="CD34" s="150"/>
      <c r="CE34" s="150"/>
      <c r="CF34" s="150"/>
      <c r="CG34" s="150"/>
      <c r="CH34" s="150"/>
      <c r="CI34" s="150"/>
      <c r="CJ34" s="150"/>
      <c r="CK34" s="150"/>
      <c r="CL34" s="150"/>
      <c r="CM34" s="150"/>
      <c r="CN34" s="150"/>
      <c r="CO34" s="150"/>
      <c r="CP34" s="150"/>
      <c r="CQ34" s="150"/>
      <c r="CR34" s="150"/>
      <c r="CS34" s="150"/>
      <c r="CT34" s="150"/>
      <c r="CU34" s="150"/>
      <c r="CV34" s="150"/>
      <c r="CW34" s="150"/>
      <c r="CX34" s="150"/>
      <c r="CY34" s="150"/>
      <c r="CZ34" s="150"/>
      <c r="DA34" s="150"/>
      <c r="DB34" s="150"/>
      <c r="DC34" s="150"/>
      <c r="DD34" s="150"/>
      <c r="DE34" s="150"/>
      <c r="DF34" s="150"/>
      <c r="DG34" s="150"/>
      <c r="DH34" s="150"/>
      <c r="DI34" s="150"/>
      <c r="DJ34" s="150"/>
      <c r="DK34" s="150"/>
      <c r="DL34" s="150"/>
      <c r="DM34" s="150"/>
      <c r="DN34" s="150"/>
      <c r="DO34" s="150"/>
      <c r="DP34" s="150"/>
      <c r="DQ34" s="150"/>
      <c r="DR34" s="150"/>
      <c r="DS34" s="150"/>
      <c r="DT34" s="150"/>
      <c r="DU34" s="150"/>
      <c r="DV34" s="150"/>
      <c r="DW34" s="150"/>
      <c r="DX34" s="150"/>
      <c r="DY34" s="150"/>
      <c r="DZ34" s="150"/>
      <c r="EA34" s="150"/>
      <c r="EB34" s="150"/>
      <c r="EC34" s="150"/>
      <c r="ED34" s="150"/>
      <c r="EE34" s="150"/>
      <c r="EF34" s="150"/>
      <c r="EG34" s="150"/>
      <c r="EH34" s="150"/>
      <c r="EI34" s="150"/>
      <c r="EJ34" s="150"/>
    </row>
    <row r="35" spans="1:140" s="18" customFormat="1" ht="12.75">
      <c r="A35" s="164"/>
      <c r="B35" s="163"/>
      <c r="C35" s="164"/>
      <c r="D35" s="165"/>
      <c r="G35" s="164"/>
      <c r="K35" s="144"/>
      <c r="L35" s="144"/>
      <c r="M35" s="144"/>
      <c r="N35" s="162"/>
      <c r="O35" s="162"/>
      <c r="P35" s="162"/>
      <c r="Q35" s="161"/>
      <c r="R35" s="161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0"/>
      <c r="BH35" s="150"/>
      <c r="BI35" s="150"/>
      <c r="BJ35" s="150"/>
      <c r="BK35" s="150"/>
      <c r="BL35" s="150"/>
      <c r="BM35" s="150"/>
      <c r="BN35" s="150"/>
      <c r="BO35" s="150"/>
      <c r="BP35" s="150"/>
      <c r="BQ35" s="150"/>
      <c r="BR35" s="150"/>
      <c r="BS35" s="150"/>
      <c r="BT35" s="150"/>
      <c r="BU35" s="150"/>
      <c r="BV35" s="150"/>
      <c r="BW35" s="150"/>
      <c r="BX35" s="150"/>
      <c r="BY35" s="150"/>
      <c r="BZ35" s="150"/>
      <c r="CA35" s="150"/>
      <c r="CB35" s="150"/>
      <c r="CC35" s="150"/>
      <c r="CD35" s="150"/>
      <c r="CE35" s="150"/>
      <c r="CF35" s="150"/>
      <c r="CG35" s="150"/>
      <c r="CH35" s="150"/>
      <c r="CI35" s="150"/>
      <c r="CJ35" s="150"/>
      <c r="CK35" s="150"/>
      <c r="CL35" s="150"/>
      <c r="CM35" s="150"/>
      <c r="CN35" s="150"/>
      <c r="CO35" s="150"/>
      <c r="CP35" s="150"/>
      <c r="CQ35" s="150"/>
      <c r="CR35" s="150"/>
      <c r="CS35" s="150"/>
      <c r="CT35" s="150"/>
      <c r="CU35" s="150"/>
      <c r="CV35" s="150"/>
      <c r="CW35" s="150"/>
      <c r="CX35" s="150"/>
      <c r="CY35" s="150"/>
      <c r="CZ35" s="150"/>
      <c r="DA35" s="150"/>
      <c r="DB35" s="150"/>
      <c r="DC35" s="150"/>
      <c r="DD35" s="150"/>
      <c r="DE35" s="150"/>
      <c r="DF35" s="150"/>
      <c r="DG35" s="150"/>
      <c r="DH35" s="150"/>
      <c r="DI35" s="150"/>
      <c r="DJ35" s="150"/>
      <c r="DK35" s="150"/>
      <c r="DL35" s="150"/>
      <c r="DM35" s="150"/>
      <c r="DN35" s="150"/>
      <c r="DO35" s="150"/>
      <c r="DP35" s="150"/>
      <c r="DQ35" s="150"/>
      <c r="DR35" s="150"/>
      <c r="DS35" s="150"/>
      <c r="DT35" s="150"/>
      <c r="DU35" s="150"/>
      <c r="DV35" s="150"/>
      <c r="DW35" s="150"/>
      <c r="DX35" s="150"/>
      <c r="DY35" s="150"/>
      <c r="DZ35" s="150"/>
      <c r="EA35" s="150"/>
      <c r="EB35" s="150"/>
      <c r="EC35" s="150"/>
      <c r="ED35" s="150"/>
      <c r="EE35" s="150"/>
      <c r="EF35" s="150"/>
      <c r="EG35" s="150"/>
      <c r="EH35" s="150"/>
      <c r="EI35" s="150"/>
      <c r="EJ35" s="150"/>
    </row>
    <row r="36" spans="1:140" s="18" customFormat="1" ht="12.75">
      <c r="A36" s="164"/>
      <c r="B36" s="163"/>
      <c r="C36" s="164"/>
      <c r="D36" s="165"/>
      <c r="G36" s="164"/>
      <c r="K36" s="144"/>
      <c r="L36" s="144"/>
      <c r="M36" s="144"/>
      <c r="N36" s="162"/>
      <c r="O36" s="162"/>
      <c r="P36" s="162"/>
      <c r="Q36" s="161"/>
      <c r="R36" s="161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50"/>
      <c r="BF36" s="150"/>
      <c r="BG36" s="150"/>
      <c r="BH36" s="150"/>
      <c r="BI36" s="150"/>
      <c r="BJ36" s="150"/>
      <c r="BK36" s="150"/>
      <c r="BL36" s="150"/>
      <c r="BM36" s="150"/>
      <c r="BN36" s="150"/>
      <c r="BO36" s="150"/>
      <c r="BP36" s="150"/>
      <c r="BQ36" s="150"/>
      <c r="BR36" s="150"/>
      <c r="BS36" s="150"/>
      <c r="BT36" s="150"/>
      <c r="BU36" s="150"/>
      <c r="BV36" s="150"/>
      <c r="BW36" s="150"/>
      <c r="BX36" s="150"/>
      <c r="BY36" s="150"/>
      <c r="BZ36" s="150"/>
      <c r="CA36" s="150"/>
      <c r="CB36" s="150"/>
      <c r="CC36" s="150"/>
      <c r="CD36" s="150"/>
      <c r="CE36" s="150"/>
      <c r="CF36" s="150"/>
      <c r="CG36" s="150"/>
      <c r="CH36" s="150"/>
      <c r="CI36" s="150"/>
      <c r="CJ36" s="150"/>
      <c r="CK36" s="150"/>
      <c r="CL36" s="150"/>
      <c r="CM36" s="150"/>
      <c r="CN36" s="150"/>
      <c r="CO36" s="150"/>
      <c r="CP36" s="150"/>
      <c r="CQ36" s="150"/>
      <c r="CR36" s="150"/>
      <c r="CS36" s="150"/>
      <c r="CT36" s="150"/>
      <c r="CU36" s="150"/>
      <c r="CV36" s="150"/>
      <c r="CW36" s="150"/>
      <c r="CX36" s="150"/>
      <c r="CY36" s="150"/>
      <c r="CZ36" s="150"/>
      <c r="DA36" s="150"/>
      <c r="DB36" s="150"/>
      <c r="DC36" s="150"/>
      <c r="DD36" s="150"/>
      <c r="DE36" s="150"/>
      <c r="DF36" s="150"/>
      <c r="DG36" s="150"/>
      <c r="DH36" s="150"/>
      <c r="DI36" s="150"/>
      <c r="DJ36" s="150"/>
      <c r="DK36" s="150"/>
      <c r="DL36" s="150"/>
      <c r="DM36" s="150"/>
      <c r="DN36" s="150"/>
      <c r="DO36" s="150"/>
      <c r="DP36" s="150"/>
      <c r="DQ36" s="150"/>
      <c r="DR36" s="150"/>
      <c r="DS36" s="150"/>
      <c r="DT36" s="150"/>
      <c r="DU36" s="150"/>
      <c r="DV36" s="150"/>
      <c r="DW36" s="150"/>
      <c r="DX36" s="150"/>
      <c r="DY36" s="150"/>
      <c r="DZ36" s="150"/>
      <c r="EA36" s="150"/>
      <c r="EB36" s="150"/>
      <c r="EC36" s="150"/>
      <c r="ED36" s="150"/>
      <c r="EE36" s="150"/>
      <c r="EF36" s="150"/>
      <c r="EG36" s="150"/>
      <c r="EH36" s="150"/>
      <c r="EI36" s="150"/>
      <c r="EJ36" s="150"/>
    </row>
    <row r="37" spans="1:140" s="18" customFormat="1" ht="12.75">
      <c r="A37" s="164"/>
      <c r="B37" s="163"/>
      <c r="C37" s="164"/>
      <c r="D37" s="165"/>
      <c r="G37" s="164"/>
      <c r="K37" s="144"/>
      <c r="L37" s="144"/>
      <c r="M37" s="144"/>
      <c r="N37" s="162"/>
      <c r="O37" s="162"/>
      <c r="P37" s="162"/>
      <c r="Q37" s="161"/>
      <c r="R37" s="161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E37" s="150"/>
      <c r="BF37" s="150"/>
      <c r="BG37" s="150"/>
      <c r="BH37" s="150"/>
      <c r="BI37" s="150"/>
      <c r="BJ37" s="150"/>
      <c r="BK37" s="150"/>
      <c r="BL37" s="150"/>
      <c r="BM37" s="150"/>
      <c r="BN37" s="150"/>
      <c r="BO37" s="150"/>
      <c r="BP37" s="150"/>
      <c r="BQ37" s="150"/>
      <c r="BR37" s="150"/>
      <c r="BS37" s="150"/>
      <c r="BT37" s="150"/>
      <c r="BU37" s="150"/>
      <c r="BV37" s="150"/>
      <c r="BW37" s="150"/>
      <c r="BX37" s="150"/>
      <c r="BY37" s="150"/>
      <c r="BZ37" s="150"/>
      <c r="CA37" s="150"/>
      <c r="CB37" s="150"/>
      <c r="CC37" s="150"/>
      <c r="CD37" s="150"/>
      <c r="CE37" s="150"/>
      <c r="CF37" s="150"/>
      <c r="CG37" s="150"/>
      <c r="CH37" s="150"/>
      <c r="CI37" s="150"/>
      <c r="CJ37" s="150"/>
      <c r="CK37" s="150"/>
      <c r="CL37" s="150"/>
      <c r="CM37" s="150"/>
      <c r="CN37" s="150"/>
      <c r="CO37" s="150"/>
      <c r="CP37" s="150"/>
      <c r="CQ37" s="150"/>
      <c r="CR37" s="150"/>
      <c r="CS37" s="150"/>
      <c r="CT37" s="150"/>
      <c r="CU37" s="150"/>
      <c r="CV37" s="150"/>
      <c r="CW37" s="150"/>
      <c r="CX37" s="150"/>
      <c r="CY37" s="150"/>
      <c r="CZ37" s="150"/>
      <c r="DA37" s="150"/>
      <c r="DB37" s="150"/>
      <c r="DC37" s="150"/>
      <c r="DD37" s="150"/>
      <c r="DE37" s="150"/>
      <c r="DF37" s="150"/>
      <c r="DG37" s="150"/>
      <c r="DH37" s="150"/>
      <c r="DI37" s="150"/>
      <c r="DJ37" s="150"/>
      <c r="DK37" s="150"/>
      <c r="DL37" s="150"/>
      <c r="DM37" s="150"/>
      <c r="DN37" s="150"/>
      <c r="DO37" s="150"/>
      <c r="DP37" s="150"/>
      <c r="DQ37" s="150"/>
      <c r="DR37" s="150"/>
      <c r="DS37" s="150"/>
      <c r="DT37" s="150"/>
      <c r="DU37" s="150"/>
      <c r="DV37" s="150"/>
      <c r="DW37" s="150"/>
      <c r="DX37" s="150"/>
      <c r="DY37" s="150"/>
      <c r="DZ37" s="150"/>
      <c r="EA37" s="150"/>
      <c r="EB37" s="150"/>
      <c r="EC37" s="150"/>
      <c r="ED37" s="150"/>
      <c r="EE37" s="150"/>
      <c r="EF37" s="150"/>
      <c r="EG37" s="150"/>
      <c r="EH37" s="150"/>
      <c r="EI37" s="150"/>
      <c r="EJ37" s="150"/>
    </row>
    <row r="38" spans="1:140" s="18" customFormat="1" ht="12.75">
      <c r="A38" s="164"/>
      <c r="B38" s="163"/>
      <c r="C38" s="164"/>
      <c r="D38" s="165"/>
      <c r="G38" s="164"/>
      <c r="K38" s="144"/>
      <c r="L38" s="144"/>
      <c r="M38" s="144"/>
      <c r="N38" s="162"/>
      <c r="O38" s="162"/>
      <c r="P38" s="162"/>
      <c r="Q38" s="161"/>
      <c r="R38" s="161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T38" s="150"/>
      <c r="AU38" s="150"/>
      <c r="AV38" s="150"/>
      <c r="AW38" s="150"/>
      <c r="AX38" s="150"/>
      <c r="AY38" s="150"/>
      <c r="AZ38" s="150"/>
      <c r="BA38" s="150"/>
      <c r="BB38" s="150"/>
      <c r="BC38" s="150"/>
      <c r="BD38" s="150"/>
      <c r="BE38" s="150"/>
      <c r="BF38" s="150"/>
      <c r="BG38" s="150"/>
      <c r="BH38" s="150"/>
      <c r="BI38" s="150"/>
      <c r="BJ38" s="150"/>
      <c r="BK38" s="150"/>
      <c r="BL38" s="150"/>
      <c r="BM38" s="150"/>
      <c r="BN38" s="150"/>
      <c r="BO38" s="150"/>
      <c r="BP38" s="150"/>
      <c r="BQ38" s="150"/>
      <c r="BR38" s="150"/>
      <c r="BS38" s="150"/>
      <c r="BT38" s="150"/>
      <c r="BU38" s="150"/>
      <c r="BV38" s="150"/>
      <c r="BW38" s="150"/>
      <c r="BX38" s="150"/>
      <c r="BY38" s="150"/>
      <c r="BZ38" s="150"/>
      <c r="CA38" s="150"/>
      <c r="CB38" s="150"/>
      <c r="CC38" s="150"/>
      <c r="CD38" s="150"/>
      <c r="CE38" s="150"/>
      <c r="CF38" s="150"/>
      <c r="CG38" s="150"/>
      <c r="CH38" s="150"/>
      <c r="CI38" s="150"/>
      <c r="CJ38" s="150"/>
      <c r="CK38" s="150"/>
      <c r="CL38" s="150"/>
      <c r="CM38" s="150"/>
      <c r="CN38" s="150"/>
      <c r="CO38" s="150"/>
      <c r="CP38" s="150"/>
      <c r="CQ38" s="150"/>
      <c r="CR38" s="150"/>
      <c r="CS38" s="150"/>
      <c r="CT38" s="150"/>
      <c r="CU38" s="150"/>
      <c r="CV38" s="150"/>
      <c r="CW38" s="150"/>
      <c r="CX38" s="150"/>
      <c r="CY38" s="150"/>
      <c r="CZ38" s="150"/>
      <c r="DA38" s="150"/>
      <c r="DB38" s="150"/>
      <c r="DC38" s="150"/>
      <c r="DD38" s="150"/>
      <c r="DE38" s="150"/>
      <c r="DF38" s="150"/>
      <c r="DG38" s="150"/>
      <c r="DH38" s="150"/>
      <c r="DI38" s="150"/>
      <c r="DJ38" s="150"/>
      <c r="DK38" s="150"/>
      <c r="DL38" s="150"/>
      <c r="DM38" s="150"/>
      <c r="DN38" s="150"/>
      <c r="DO38" s="150"/>
      <c r="DP38" s="150"/>
      <c r="DQ38" s="150"/>
      <c r="DR38" s="150"/>
      <c r="DS38" s="150"/>
      <c r="DT38" s="150"/>
      <c r="DU38" s="150"/>
      <c r="DV38" s="150"/>
      <c r="DW38" s="150"/>
      <c r="DX38" s="150"/>
      <c r="DY38" s="150"/>
      <c r="DZ38" s="150"/>
      <c r="EA38" s="150"/>
      <c r="EB38" s="150"/>
      <c r="EC38" s="150"/>
      <c r="ED38" s="150"/>
      <c r="EE38" s="150"/>
      <c r="EF38" s="150"/>
      <c r="EG38" s="150"/>
      <c r="EH38" s="150"/>
      <c r="EI38" s="150"/>
      <c r="EJ38" s="150"/>
    </row>
    <row r="39" spans="1:140" s="18" customFormat="1" ht="12.75">
      <c r="A39" s="164"/>
      <c r="B39" s="163"/>
      <c r="C39" s="164"/>
      <c r="D39" s="165"/>
      <c r="G39" s="164"/>
      <c r="K39" s="144"/>
      <c r="L39" s="144"/>
      <c r="M39" s="144"/>
      <c r="N39" s="162"/>
      <c r="O39" s="162"/>
      <c r="P39" s="162"/>
      <c r="Q39" s="161"/>
      <c r="R39" s="161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  <c r="AI39" s="150"/>
      <c r="AJ39" s="150"/>
      <c r="AK39" s="150"/>
      <c r="AL39" s="150"/>
      <c r="AM39" s="150"/>
      <c r="AN39" s="150"/>
      <c r="AO39" s="150"/>
      <c r="AP39" s="150"/>
      <c r="AQ39" s="150"/>
      <c r="AR39" s="150"/>
      <c r="AS39" s="150"/>
      <c r="AT39" s="150"/>
      <c r="AU39" s="150"/>
      <c r="AV39" s="150"/>
      <c r="AW39" s="150"/>
      <c r="AX39" s="150"/>
      <c r="AY39" s="150"/>
      <c r="AZ39" s="150"/>
      <c r="BA39" s="150"/>
      <c r="BB39" s="150"/>
      <c r="BC39" s="150"/>
      <c r="BD39" s="150"/>
      <c r="BE39" s="150"/>
      <c r="BF39" s="150"/>
      <c r="BG39" s="150"/>
      <c r="BH39" s="150"/>
      <c r="BI39" s="150"/>
      <c r="BJ39" s="150"/>
      <c r="BK39" s="150"/>
      <c r="BL39" s="150"/>
      <c r="BM39" s="150"/>
      <c r="BN39" s="150"/>
      <c r="BO39" s="150"/>
      <c r="BP39" s="150"/>
      <c r="BQ39" s="150"/>
      <c r="BR39" s="150"/>
      <c r="BS39" s="150"/>
      <c r="BT39" s="150"/>
      <c r="BU39" s="150"/>
      <c r="BV39" s="150"/>
      <c r="BW39" s="150"/>
      <c r="BX39" s="150"/>
      <c r="BY39" s="150"/>
      <c r="BZ39" s="150"/>
      <c r="CA39" s="150"/>
      <c r="CB39" s="150"/>
      <c r="CC39" s="150"/>
      <c r="CD39" s="150"/>
      <c r="CE39" s="150"/>
      <c r="CF39" s="150"/>
      <c r="CG39" s="150"/>
      <c r="CH39" s="150"/>
      <c r="CI39" s="150"/>
      <c r="CJ39" s="150"/>
      <c r="CK39" s="150"/>
      <c r="CL39" s="150"/>
      <c r="CM39" s="150"/>
      <c r="CN39" s="150"/>
      <c r="CO39" s="150"/>
      <c r="CP39" s="150"/>
      <c r="CQ39" s="150"/>
      <c r="CR39" s="150"/>
      <c r="CS39" s="150"/>
      <c r="CT39" s="150"/>
      <c r="CU39" s="150"/>
      <c r="CV39" s="150"/>
      <c r="CW39" s="150"/>
      <c r="CX39" s="150"/>
      <c r="CY39" s="150"/>
      <c r="CZ39" s="150"/>
      <c r="DA39" s="150"/>
      <c r="DB39" s="150"/>
      <c r="DC39" s="150"/>
      <c r="DD39" s="150"/>
      <c r="DE39" s="150"/>
      <c r="DF39" s="150"/>
      <c r="DG39" s="150"/>
      <c r="DH39" s="150"/>
      <c r="DI39" s="150"/>
      <c r="DJ39" s="150"/>
      <c r="DK39" s="150"/>
      <c r="DL39" s="150"/>
      <c r="DM39" s="150"/>
      <c r="DN39" s="150"/>
      <c r="DO39" s="150"/>
      <c r="DP39" s="150"/>
      <c r="DQ39" s="150"/>
      <c r="DR39" s="150"/>
      <c r="DS39" s="150"/>
      <c r="DT39" s="150"/>
      <c r="DU39" s="150"/>
      <c r="DV39" s="150"/>
      <c r="DW39" s="150"/>
      <c r="DX39" s="150"/>
      <c r="DY39" s="150"/>
      <c r="DZ39" s="150"/>
      <c r="EA39" s="150"/>
      <c r="EB39" s="150"/>
      <c r="EC39" s="150"/>
      <c r="ED39" s="150"/>
      <c r="EE39" s="150"/>
      <c r="EF39" s="150"/>
      <c r="EG39" s="150"/>
      <c r="EH39" s="150"/>
      <c r="EI39" s="150"/>
      <c r="EJ39" s="150"/>
    </row>
    <row r="40" spans="1:140" s="18" customFormat="1" ht="12.75">
      <c r="A40" s="164"/>
      <c r="B40" s="163"/>
      <c r="C40" s="164"/>
      <c r="D40" s="165"/>
      <c r="G40" s="164"/>
      <c r="K40" s="144"/>
      <c r="L40" s="144"/>
      <c r="M40" s="144"/>
      <c r="N40" s="162"/>
      <c r="O40" s="162"/>
      <c r="P40" s="162"/>
      <c r="Q40" s="161"/>
      <c r="R40" s="161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  <c r="AT40" s="150"/>
      <c r="AU40" s="150"/>
      <c r="AV40" s="150"/>
      <c r="AW40" s="150"/>
      <c r="AX40" s="150"/>
      <c r="AY40" s="150"/>
      <c r="AZ40" s="150"/>
      <c r="BA40" s="150"/>
      <c r="BB40" s="150"/>
      <c r="BC40" s="150"/>
      <c r="BD40" s="150"/>
      <c r="BE40" s="150"/>
      <c r="BF40" s="150"/>
      <c r="BG40" s="150"/>
      <c r="BH40" s="150"/>
      <c r="BI40" s="150"/>
      <c r="BJ40" s="150"/>
      <c r="BK40" s="150"/>
      <c r="BL40" s="150"/>
      <c r="BM40" s="150"/>
      <c r="BN40" s="150"/>
      <c r="BO40" s="150"/>
      <c r="BP40" s="150"/>
      <c r="BQ40" s="150"/>
      <c r="BR40" s="150"/>
      <c r="BS40" s="150"/>
      <c r="BT40" s="150"/>
      <c r="BU40" s="150"/>
      <c r="BV40" s="150"/>
      <c r="BW40" s="150"/>
      <c r="BX40" s="150"/>
      <c r="BY40" s="150"/>
      <c r="BZ40" s="150"/>
      <c r="CA40" s="150"/>
      <c r="CB40" s="150"/>
      <c r="CC40" s="150"/>
      <c r="CD40" s="150"/>
      <c r="CE40" s="150"/>
      <c r="CF40" s="150"/>
      <c r="CG40" s="150"/>
      <c r="CH40" s="150"/>
      <c r="CI40" s="150"/>
      <c r="CJ40" s="150"/>
      <c r="CK40" s="150"/>
      <c r="CL40" s="150"/>
      <c r="CM40" s="150"/>
      <c r="CN40" s="150"/>
      <c r="CO40" s="150"/>
      <c r="CP40" s="150"/>
      <c r="CQ40" s="150"/>
      <c r="CR40" s="150"/>
      <c r="CS40" s="150"/>
      <c r="CT40" s="150"/>
      <c r="CU40" s="150"/>
      <c r="CV40" s="150"/>
      <c r="CW40" s="150"/>
      <c r="CX40" s="150"/>
      <c r="CY40" s="150"/>
      <c r="CZ40" s="150"/>
      <c r="DA40" s="150"/>
      <c r="DB40" s="150"/>
      <c r="DC40" s="150"/>
      <c r="DD40" s="150"/>
      <c r="DE40" s="150"/>
      <c r="DF40" s="150"/>
      <c r="DG40" s="150"/>
      <c r="DH40" s="150"/>
      <c r="DI40" s="150"/>
      <c r="DJ40" s="150"/>
      <c r="DK40" s="150"/>
      <c r="DL40" s="150"/>
      <c r="DM40" s="150"/>
      <c r="DN40" s="150"/>
      <c r="DO40" s="150"/>
      <c r="DP40" s="150"/>
      <c r="DQ40" s="150"/>
      <c r="DR40" s="150"/>
      <c r="DS40" s="150"/>
      <c r="DT40" s="150"/>
      <c r="DU40" s="150"/>
      <c r="DV40" s="150"/>
      <c r="DW40" s="150"/>
      <c r="DX40" s="150"/>
      <c r="DY40" s="150"/>
      <c r="DZ40" s="150"/>
      <c r="EA40" s="150"/>
      <c r="EB40" s="150"/>
      <c r="EC40" s="150"/>
      <c r="ED40" s="150"/>
      <c r="EE40" s="150"/>
      <c r="EF40" s="150"/>
      <c r="EG40" s="150"/>
      <c r="EH40" s="150"/>
      <c r="EI40" s="150"/>
      <c r="EJ40" s="150"/>
    </row>
    <row r="41" spans="1:18" ht="12.75">
      <c r="A41" s="136"/>
      <c r="B41" s="138"/>
      <c r="C41" s="136"/>
      <c r="D41" s="137"/>
      <c r="G41" s="136"/>
      <c r="L41" s="139"/>
      <c r="M41" s="139"/>
      <c r="N41" s="96"/>
      <c r="O41" s="96"/>
      <c r="P41" s="96"/>
      <c r="Q41" s="135"/>
      <c r="R41" s="135"/>
    </row>
    <row r="42" spans="1:18" ht="12.75">
      <c r="A42" s="136"/>
      <c r="B42" s="138"/>
      <c r="C42" s="136"/>
      <c r="D42" s="137"/>
      <c r="G42" s="136"/>
      <c r="L42" s="139"/>
      <c r="M42" s="139"/>
      <c r="N42" s="96"/>
      <c r="O42" s="96"/>
      <c r="P42" s="96"/>
      <c r="Q42" s="135"/>
      <c r="R42" s="135"/>
    </row>
    <row r="43" spans="1:18" ht="12.75">
      <c r="A43" s="136"/>
      <c r="B43" s="138"/>
      <c r="C43" s="136"/>
      <c r="D43" s="137"/>
      <c r="G43" s="136"/>
      <c r="L43" s="139"/>
      <c r="M43" s="139"/>
      <c r="N43" s="96"/>
      <c r="O43" s="96"/>
      <c r="P43" s="96"/>
      <c r="Q43" s="135"/>
      <c r="R43" s="135"/>
    </row>
    <row r="44" spans="1:18" ht="12.75">
      <c r="A44" s="136"/>
      <c r="B44" s="138"/>
      <c r="C44" s="136"/>
      <c r="D44" s="137"/>
      <c r="G44" s="136"/>
      <c r="L44" s="139"/>
      <c r="M44" s="139"/>
      <c r="N44" s="96"/>
      <c r="O44" s="96"/>
      <c r="P44" s="96"/>
      <c r="Q44" s="135"/>
      <c r="R44" s="135"/>
    </row>
    <row r="45" spans="1:18" ht="12.75">
      <c r="A45" s="136"/>
      <c r="B45" s="138"/>
      <c r="C45" s="136"/>
      <c r="D45" s="137"/>
      <c r="G45" s="136"/>
      <c r="L45" s="139"/>
      <c r="M45" s="139"/>
      <c r="N45" s="96"/>
      <c r="O45" s="96"/>
      <c r="P45" s="96"/>
      <c r="Q45" s="135"/>
      <c r="R45" s="135"/>
    </row>
    <row r="46" spans="1:18" ht="12.75">
      <c r="A46" s="136"/>
      <c r="B46" s="138"/>
      <c r="C46" s="136"/>
      <c r="D46" s="137"/>
      <c r="G46" s="136"/>
      <c r="L46" s="139"/>
      <c r="M46" s="139"/>
      <c r="N46" s="96"/>
      <c r="O46" s="96"/>
      <c r="P46" s="96"/>
      <c r="Q46" s="135"/>
      <c r="R46" s="135"/>
    </row>
    <row r="47" spans="1:18" ht="12.75">
      <c r="A47" s="136"/>
      <c r="B47" s="138"/>
      <c r="C47" s="136"/>
      <c r="D47" s="137"/>
      <c r="G47" s="136"/>
      <c r="L47" s="139"/>
      <c r="M47" s="139"/>
      <c r="N47" s="96"/>
      <c r="O47" s="96"/>
      <c r="P47" s="96"/>
      <c r="Q47" s="135"/>
      <c r="R47" s="135"/>
    </row>
    <row r="48" spans="1:18" ht="12.75">
      <c r="A48" s="140"/>
      <c r="B48" s="138"/>
      <c r="C48" s="140"/>
      <c r="D48" s="137"/>
      <c r="G48" s="136"/>
      <c r="N48" s="96"/>
      <c r="O48" s="96"/>
      <c r="P48" s="96"/>
      <c r="Q48" s="135"/>
      <c r="R48" s="135"/>
    </row>
    <row r="49" spans="1:18" ht="12.75">
      <c r="A49" s="140"/>
      <c r="B49" s="138"/>
      <c r="C49" s="140"/>
      <c r="D49" s="141"/>
      <c r="G49" s="136"/>
      <c r="N49" s="96"/>
      <c r="O49" s="96"/>
      <c r="P49" s="96"/>
      <c r="Q49" s="135"/>
      <c r="R49" s="135"/>
    </row>
    <row r="50" spans="1:18" ht="12.75">
      <c r="A50" s="140"/>
      <c r="B50" s="138"/>
      <c r="C50" s="140"/>
      <c r="D50" s="141"/>
      <c r="G50" s="136"/>
      <c r="N50" s="96"/>
      <c r="O50" s="96"/>
      <c r="P50" s="96"/>
      <c r="Q50" s="135"/>
      <c r="R50" s="135"/>
    </row>
    <row r="51" spans="1:18" ht="12.75">
      <c r="A51" s="140"/>
      <c r="B51" s="138"/>
      <c r="C51" s="140"/>
      <c r="D51" s="140"/>
      <c r="G51" s="136"/>
      <c r="N51" s="96"/>
      <c r="O51" s="96"/>
      <c r="P51" s="96"/>
      <c r="Q51" s="135"/>
      <c r="R51" s="135"/>
    </row>
    <row r="52" spans="1:7" ht="12.75">
      <c r="A52" s="140"/>
      <c r="B52" s="138"/>
      <c r="D52" s="136"/>
      <c r="G52" s="136"/>
    </row>
    <row r="53" spans="2:7" ht="12.75">
      <c r="B53" s="2"/>
      <c r="D53" s="136"/>
      <c r="G53" s="136"/>
    </row>
    <row r="54" spans="2:7" ht="12.75">
      <c r="B54" s="2"/>
      <c r="D54" s="136"/>
      <c r="G54" s="136"/>
    </row>
    <row r="55" spans="2:7" ht="12.75">
      <c r="B55" s="2"/>
      <c r="D55" s="136"/>
      <c r="G55" s="136"/>
    </row>
  </sheetData>
  <sheetProtection/>
  <printOptions/>
  <pageMargins left="0.75" right="0.75" top="1" bottom="1" header="0.4921259845" footer="0.492125984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USR02</dc:creator>
  <cp:keywords/>
  <dc:description/>
  <cp:lastModifiedBy>Bakartxo Villar</cp:lastModifiedBy>
  <cp:lastPrinted>2015-07-13T10:18:06Z</cp:lastPrinted>
  <dcterms:created xsi:type="dcterms:W3CDTF">2013-12-21T08:23:27Z</dcterms:created>
  <dcterms:modified xsi:type="dcterms:W3CDTF">2015-10-19T09:11:44Z</dcterms:modified>
  <cp:category/>
  <cp:version/>
  <cp:contentType/>
  <cp:contentStatus/>
</cp:coreProperties>
</file>