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566" activeTab="0"/>
  </bookViews>
  <sheets>
    <sheet name="TXOSTENA" sheetId="1" r:id="rId1"/>
    <sheet name="xehet1" sheetId="2" r:id="rId2"/>
    <sheet name="xehet2" sheetId="3" r:id="rId3"/>
    <sheet name="xehet32" sheetId="4" r:id="rId4"/>
  </sheets>
  <definedNames>
    <definedName name="_xlnm.Print_Area" localSheetId="1">'xehet1'!$A$3:$R$5</definedName>
    <definedName name="_xlnm.Print_Area" localSheetId="2">'xehet2'!$A$1:$R$8</definedName>
    <definedName name="_xlnm.Print_Area" localSheetId="3">'xehet32'!$A$1:$P$1</definedName>
  </definedNames>
  <calcPr fullCalcOnLoad="1"/>
</workbook>
</file>

<file path=xl/sharedStrings.xml><?xml version="1.0" encoding="utf-8"?>
<sst xmlns="http://schemas.openxmlformats.org/spreadsheetml/2006/main" count="707" uniqueCount="639">
  <si>
    <t>20 -</t>
  </si>
  <si>
    <t>21 -</t>
  </si>
  <si>
    <t>22 -</t>
  </si>
  <si>
    <t>23 -</t>
  </si>
  <si>
    <t>Toki entitatea:</t>
  </si>
  <si>
    <t>Ekitaldia:</t>
  </si>
  <si>
    <t>Hiruhilekoa:</t>
  </si>
  <si>
    <t>Errentamenduak eta kanonak</t>
  </si>
  <si>
    <t>Materiala, hornidura eta beste batzuk</t>
  </si>
  <si>
    <t>Kalte-ordaina zerbitzuagatik</t>
  </si>
  <si>
    <t>Inbertsio errealak</t>
  </si>
  <si>
    <t>Guztira</t>
  </si>
  <si>
    <t>Ordainketa kopurua</t>
  </si>
  <si>
    <t>Zenbateko osoa</t>
  </si>
  <si>
    <t>Hiruhilekoan egindako ordainketak</t>
  </si>
  <si>
    <t>Eragiketa kopurua</t>
  </si>
  <si>
    <t>Hiruhilekoa amaitzean ordaintzeko daudenak</t>
  </si>
  <si>
    <t>Kopurua</t>
  </si>
  <si>
    <t>Gastuak ondasun arruntetan eta zerbitzuetan</t>
  </si>
  <si>
    <t>Konponketa, mantenimendua eta kontserbazioa</t>
  </si>
  <si>
    <t>Aurrekontura aplikatzeko daudenak</t>
  </si>
  <si>
    <t>ORDAINKETA EPEAREN INFORMAZIOA</t>
  </si>
  <si>
    <t>Hiruhileko ordainketak</t>
  </si>
  <si>
    <t>Bestelakoak</t>
  </si>
  <si>
    <t>2X -</t>
  </si>
  <si>
    <t>Aurrekontura aplikatzeko dauden ordainketak</t>
  </si>
  <si>
    <t>6X -</t>
  </si>
  <si>
    <t xml:space="preserve"> Inbertsio errealak </t>
  </si>
  <si>
    <t>1. Hiruhilekoan egindako ordainketak. Ordainketa epea obligazioa onartu zenetik hasita.</t>
  </si>
  <si>
    <t>1.1. Sailkapen ekonomikoaren arabera</t>
  </si>
  <si>
    <t>1.2. Epearen arabera</t>
  </si>
  <si>
    <t xml:space="preserve">Hiru hilabete ondoren obligazioa onartu gabe duten fakturak eta ordainagiriak </t>
  </si>
  <si>
    <t>Hiruhilekoa amaitzean ordaindu gabe dauden fakturak eta ordainagiriak</t>
  </si>
  <si>
    <t>Ordainketa epea</t>
  </si>
  <si>
    <t>Epez kanpokoena</t>
  </si>
  <si>
    <t>Legezko epearen barruan</t>
  </si>
  <si>
    <t>Legezko epetik kanpo</t>
  </si>
  <si>
    <t>2. Ordaindu gabe gelditu diren fakturak. Epea obligazioa onartu zenetik hasita.</t>
  </si>
  <si>
    <t>3.1. Erregistroan idatzi zirenetik hiru hilabetetik gora daramatenak</t>
  </si>
  <si>
    <t>30 egun edo gutxiago</t>
  </si>
  <si>
    <t>31 eta 60 egun bitartean</t>
  </si>
  <si>
    <t>61 eta 90 egun bitartean</t>
  </si>
  <si>
    <t>90 egun baino gehiago</t>
  </si>
  <si>
    <t>Epea</t>
  </si>
  <si>
    <t>Zenbatekoa</t>
  </si>
  <si>
    <t>Epea
(egunak batez beste)</t>
  </si>
  <si>
    <t>(egunak batez beste)</t>
  </si>
  <si>
    <t>3.2. Erregistroan idatzi zirenetik daramatzaten egunak</t>
  </si>
  <si>
    <t xml:space="preserve">Obligazioa onartu gabe duten fakturak eta ordainagiriak </t>
  </si>
  <si>
    <t>4. Entitatearen ordainketen batez besteko epea (OBBE)</t>
  </si>
  <si>
    <t>OBBE</t>
  </si>
  <si>
    <t>Hiruhilekoaren OBBE</t>
  </si>
  <si>
    <t>Ratioa</t>
  </si>
  <si>
    <t>Ordaindutako eragiketak</t>
  </si>
  <si>
    <t>Ordaindu gabeko eragiketak</t>
  </si>
  <si>
    <t>OBBEari buruzko oharrak:</t>
  </si>
  <si>
    <t>Egun kopurua</t>
  </si>
  <si>
    <t>Egindako ordainketak</t>
  </si>
  <si>
    <t>Faktura kopurua</t>
  </si>
  <si>
    <t>%</t>
  </si>
  <si>
    <t>31etik 40 egunetara</t>
  </si>
  <si>
    <t>41etik 50 egunetara</t>
  </si>
  <si>
    <t>51tik 60 egunetara</t>
  </si>
  <si>
    <t>60 egun baino gehiago</t>
  </si>
  <si>
    <t>3. Hiruhilekoa amaitzean obligazioa onartu gabe duten fakturak eta ordainagiriak</t>
  </si>
  <si>
    <t>Obligaziorik onartu gabeko fakturak</t>
  </si>
  <si>
    <t>Aurrekontuari aplikatu gabeko ordainketak*</t>
  </si>
  <si>
    <t>Aurrekontuari aplikatu gabeko fakturak*</t>
  </si>
  <si>
    <t>* 2. eta 6. kapituluari dagozkion fakturak soilik</t>
  </si>
  <si>
    <t>Hiruhilekoan ordaindutako fakturak</t>
  </si>
  <si>
    <t>Fra data</t>
  </si>
  <si>
    <t>Hirugarrena</t>
  </si>
  <si>
    <t>Azalpena</t>
  </si>
  <si>
    <t>Partida</t>
  </si>
  <si>
    <t>Erregto
 data</t>
  </si>
  <si>
    <t>Espte
 zkia</t>
  </si>
  <si>
    <t>Desz
 Data</t>
  </si>
  <si>
    <t>Epea
 R-O</t>
  </si>
  <si>
    <t>Epea
 O-P</t>
  </si>
  <si>
    <t>Epea
 R-P</t>
  </si>
  <si>
    <t>Hiruhilekoan ordaindu gabe gelditu direnak (O eginda)</t>
  </si>
  <si>
    <t>Hiruhilekoan O egin gabe gelditu direnak</t>
  </si>
  <si>
    <t>ADO-17</t>
  </si>
  <si>
    <t>ADO-12</t>
  </si>
  <si>
    <t>Hirugar.
Kodea</t>
  </si>
  <si>
    <t>Fra zkia</t>
  </si>
  <si>
    <t>Epea
 O
 - HH buk</t>
  </si>
  <si>
    <t>Epea
 R 
 - HH buk</t>
  </si>
  <si>
    <t>Konponketak, mantenimendua eta artapena</t>
  </si>
  <si>
    <t>Materiala, hornidurak eta bestelakoak</t>
  </si>
  <si>
    <t>Kalte-ordainak zerbitzuagatik</t>
  </si>
  <si>
    <t>O-ren
 data</t>
  </si>
  <si>
    <t>P-ren
 data</t>
  </si>
  <si>
    <t>Artik</t>
  </si>
  <si>
    <t>ponderazioa 1</t>
  </si>
  <si>
    <t>ponderazioa 2</t>
  </si>
  <si>
    <t>Epean</t>
  </si>
  <si>
    <t>fecha obligacion y pago para nosotros la misma</t>
  </si>
  <si>
    <t>cuando se acepta</t>
  </si>
  <si>
    <t>obligacion</t>
  </si>
  <si>
    <t>pago</t>
  </si>
  <si>
    <t>onartuak bai</t>
  </si>
  <si>
    <t>Fin trim.</t>
  </si>
  <si>
    <t xml:space="preserve">baina ordainduak ez </t>
  </si>
  <si>
    <t>cuando se aprueban</t>
  </si>
  <si>
    <t>tienen que aprobarse en el trimestre</t>
  </si>
  <si>
    <t>para nosotros aprobacion y pago es la misma fecha</t>
  </si>
  <si>
    <t>ni aceptadas ni pagadas en el trimestre</t>
  </si>
  <si>
    <t>OARSOALDEA</t>
  </si>
  <si>
    <t>HH BUKAERA</t>
  </si>
  <si>
    <t>06/2019</t>
  </si>
  <si>
    <t>FCC1900674</t>
  </si>
  <si>
    <t>FCC1900574</t>
  </si>
  <si>
    <t>FCC1900699</t>
  </si>
  <si>
    <t>FCC1900562</t>
  </si>
  <si>
    <t>FCC1900449</t>
  </si>
  <si>
    <t>FCC1900633</t>
  </si>
  <si>
    <t>FCC1900541</t>
  </si>
  <si>
    <t>FCC1900381</t>
  </si>
  <si>
    <t>FCC1900335</t>
  </si>
  <si>
    <t>FCC1900567</t>
  </si>
  <si>
    <t>FCC1900477</t>
  </si>
  <si>
    <t>FCC1900475</t>
  </si>
  <si>
    <t>FCC1900373</t>
  </si>
  <si>
    <t>FCC1900566</t>
  </si>
  <si>
    <t>FCC1900425</t>
  </si>
  <si>
    <t>FCC1900380</t>
  </si>
  <si>
    <t>FCC1900548</t>
  </si>
  <si>
    <t>FCC1900666</t>
  </si>
  <si>
    <t>FCC1900656</t>
  </si>
  <si>
    <t>FCC1900563</t>
  </si>
  <si>
    <t>FCC1900434</t>
  </si>
  <si>
    <t>FCC1900432</t>
  </si>
  <si>
    <t>FCC1900506</t>
  </si>
  <si>
    <t>FCC1900375</t>
  </si>
  <si>
    <t>FCC1900236</t>
  </si>
  <si>
    <t>FCC1900677</t>
  </si>
  <si>
    <t>FCC1900650</t>
  </si>
  <si>
    <t>FCC1900488</t>
  </si>
  <si>
    <t>FCC1900390</t>
  </si>
  <si>
    <t>FCC1900598</t>
  </si>
  <si>
    <t>FCC1900451</t>
  </si>
  <si>
    <t>FCC1900386</t>
  </si>
  <si>
    <t>FCC1900352</t>
  </si>
  <si>
    <t>FCC1900351</t>
  </si>
  <si>
    <t>FCC1900512</t>
  </si>
  <si>
    <t>FCC1900443</t>
  </si>
  <si>
    <t>FCC1900442</t>
  </si>
  <si>
    <t>FCC1900605</t>
  </si>
  <si>
    <t>FCC1900550</t>
  </si>
  <si>
    <t>FCC1900474</t>
  </si>
  <si>
    <t>FCC1900362</t>
  </si>
  <si>
    <t>FCC1900641</t>
  </si>
  <si>
    <t>FCC1900547</t>
  </si>
  <si>
    <t>FCC1900592</t>
  </si>
  <si>
    <t>FCC1900521</t>
  </si>
  <si>
    <t>FCC1900596</t>
  </si>
  <si>
    <t>FCC1900595</t>
  </si>
  <si>
    <t>FCC1900502</t>
  </si>
  <si>
    <t>FCC1900697</t>
  </si>
  <si>
    <t>FCC1900637</t>
  </si>
  <si>
    <t>FCC1900580</t>
  </si>
  <si>
    <t>FCC1900533</t>
  </si>
  <si>
    <t>FCC1900532</t>
  </si>
  <si>
    <t>FCC1900531</t>
  </si>
  <si>
    <t>FCC1900277</t>
  </si>
  <si>
    <t>FCC1900631</t>
  </si>
  <si>
    <t>FCC1900630</t>
  </si>
  <si>
    <t>FCC1900629</t>
  </si>
  <si>
    <t>FCC1900628</t>
  </si>
  <si>
    <t>FCC1900621</t>
  </si>
  <si>
    <t>FCC1900620</t>
  </si>
  <si>
    <t>FCC1900501</t>
  </si>
  <si>
    <t>FCC1900653</t>
  </si>
  <si>
    <t>FCC1900420</t>
  </si>
  <si>
    <t>FCC1900610</t>
  </si>
  <si>
    <t>FCC1900552</t>
  </si>
  <si>
    <t>FCC1900690</t>
  </si>
  <si>
    <t>FCC1900672</t>
  </si>
  <si>
    <t>FCC1900519</t>
  </si>
  <si>
    <t>FCC1900414</t>
  </si>
  <si>
    <t>FCC1900515</t>
  </si>
  <si>
    <t>FCC1900446</t>
  </si>
  <si>
    <t>FCC1900372</t>
  </si>
  <si>
    <t>FCC1900371</t>
  </si>
  <si>
    <t>FCC1900582</t>
  </si>
  <si>
    <t>FCC1900520</t>
  </si>
  <si>
    <t>FCC1900516</t>
  </si>
  <si>
    <t>FCC1900455</t>
  </si>
  <si>
    <t>FCC1900377</t>
  </si>
  <si>
    <t>FCC1900350</t>
  </si>
  <si>
    <t>FCC1900664</t>
  </si>
  <si>
    <t>FCC1900490</t>
  </si>
  <si>
    <t>FCC1900482</t>
  </si>
  <si>
    <t>FCC1900397</t>
  </si>
  <si>
    <t>FCC1900392</t>
  </si>
  <si>
    <t>FCC1900391</t>
  </si>
  <si>
    <t>FCC1900676</t>
  </si>
  <si>
    <t>FCC1900665</t>
  </si>
  <si>
    <t>FCC1900663</t>
  </si>
  <si>
    <t>FCC1900632</t>
  </si>
  <si>
    <t>FCC1900564</t>
  </si>
  <si>
    <t>FCC1900551</t>
  </si>
  <si>
    <t>FCC1900542</t>
  </si>
  <si>
    <t>FCC1900467</t>
  </si>
  <si>
    <t>FCC1900439</t>
  </si>
  <si>
    <t>FCC1900419</t>
  </si>
  <si>
    <t>FCC1900481</t>
  </si>
  <si>
    <t>FCC1900409</t>
  </si>
  <si>
    <t>FCC1900507</t>
  </si>
  <si>
    <t>FCC1900417</t>
  </si>
  <si>
    <t>FCC1900569</t>
  </si>
  <si>
    <t>FCC1900667</t>
  </si>
  <si>
    <t>FCC1900553</t>
  </si>
  <si>
    <t>FCC1900593</t>
  </si>
  <si>
    <t>FCC1900604</t>
  </si>
  <si>
    <t>FCC1900416</t>
  </si>
  <si>
    <t>FCC1900387</t>
  </si>
  <si>
    <t>FCC1900433</t>
  </si>
  <si>
    <t>FCC1900698</t>
  </si>
  <si>
    <t>FCC1900374</t>
  </si>
  <si>
    <t>FCC1900538</t>
  </si>
  <si>
    <t>FCC1900487</t>
  </si>
  <si>
    <t>FCC1900486</t>
  </si>
  <si>
    <t>FCC1900575</t>
  </si>
  <si>
    <t>FCC1900385</t>
  </si>
  <si>
    <t>FCC1900680</t>
  </si>
  <si>
    <t>FCC1900662</t>
  </si>
  <si>
    <t>FCC1900601</t>
  </si>
  <si>
    <t>FCC1900568</t>
  </si>
  <si>
    <t>FCC1900479</t>
  </si>
  <si>
    <t>FCC1900478</t>
  </si>
  <si>
    <t>FCC1900583</t>
  </si>
  <si>
    <t>FCC1900454</t>
  </si>
  <si>
    <t>FCC1900378</t>
  </si>
  <si>
    <t>FCC1900353</t>
  </si>
  <si>
    <t>FCC1900498</t>
  </si>
  <si>
    <t>FCC1900418</t>
  </si>
  <si>
    <t>FCC1900282</t>
  </si>
  <si>
    <t>FCC1900594</t>
  </si>
  <si>
    <t>FCC1900689</t>
  </si>
  <si>
    <t>FCC1900688</t>
  </si>
  <si>
    <t>FCC1900687</t>
  </si>
  <si>
    <t>FCC1900686</t>
  </si>
  <si>
    <t>FCC1900685</t>
  </si>
  <si>
    <t>FCC1900684</t>
  </si>
  <si>
    <t>FCC1900683</t>
  </si>
  <si>
    <t>FCC1900682</t>
  </si>
  <si>
    <t>FCC1900681</t>
  </si>
  <si>
    <t>FCC1900661</t>
  </si>
  <si>
    <t>FCC1900660</t>
  </si>
  <si>
    <t>FCC1900659</t>
  </si>
  <si>
    <t>FCC1900591</t>
  </si>
  <si>
    <t>FCC1900590</t>
  </si>
  <si>
    <t>FCC1900589</t>
  </si>
  <si>
    <t>FCC1900588</t>
  </si>
  <si>
    <t>FCC1900587</t>
  </si>
  <si>
    <t>FCC1900586</t>
  </si>
  <si>
    <t>FCC1900537</t>
  </si>
  <si>
    <t>FCC1900536</t>
  </si>
  <si>
    <t>FCC1900535</t>
  </si>
  <si>
    <t>FCC1900534</t>
  </si>
  <si>
    <t>FCC1900505</t>
  </si>
  <si>
    <t>FCC1900500</t>
  </si>
  <si>
    <t>FCC1900499</t>
  </si>
  <si>
    <t>FCC1900473</t>
  </si>
  <si>
    <t>FCC1900472</t>
  </si>
  <si>
    <t>FCC1900471</t>
  </si>
  <si>
    <t>FCC1900470</t>
  </si>
  <si>
    <t>FCC1900469</t>
  </si>
  <si>
    <t>FCC1900468</t>
  </si>
  <si>
    <t>FCC1900438</t>
  </si>
  <si>
    <t>FCC1900437</t>
  </si>
  <si>
    <t>FCC1900401</t>
  </si>
  <si>
    <t>FCC1900400</t>
  </si>
  <si>
    <t>FCC1900399</t>
  </si>
  <si>
    <t>FCC1900361</t>
  </si>
  <si>
    <t>FCC1900360</t>
  </si>
  <si>
    <t>FCC1900616</t>
  </si>
  <si>
    <t>FCC1900615</t>
  </si>
  <si>
    <t>FCC1900445</t>
  </si>
  <si>
    <t>FCC1900444</t>
  </si>
  <si>
    <t>FCC1900370</t>
  </si>
  <si>
    <t>FCC1900691</t>
  </si>
  <si>
    <t>FCC1900513</t>
  </si>
  <si>
    <t>FCC1900423</t>
  </si>
  <si>
    <t>FCC1900407</t>
  </si>
  <si>
    <t>FCC1900404</t>
  </si>
  <si>
    <t>FCC1900359</t>
  </si>
  <si>
    <t>FCC1900459</t>
  </si>
  <si>
    <t>FCC1900599</t>
  </si>
  <si>
    <t>FCC1900549</t>
  </si>
  <si>
    <t>FCC1900466</t>
  </si>
  <si>
    <t>FCC1900465</t>
  </si>
  <si>
    <t>FCC1900301</t>
  </si>
  <si>
    <t>FCC1900612</t>
  </si>
  <si>
    <t>FCC1900483</t>
  </si>
  <si>
    <t>FCC1900608</t>
  </si>
  <si>
    <t>FCC1900460</t>
  </si>
  <si>
    <t>FCC1900671</t>
  </si>
  <si>
    <t>FCC1900544</t>
  </si>
  <si>
    <t>FCC1900543</t>
  </si>
  <si>
    <t>FCC1900503</t>
  </si>
  <si>
    <t>FCC1900410</t>
  </si>
  <si>
    <t>FCC1900408</t>
  </si>
  <si>
    <t>FCC1900694</t>
  </si>
  <si>
    <t>FCC1900389</t>
  </si>
  <si>
    <t>FCC1900679</t>
  </si>
  <si>
    <t>FCC1900678</t>
  </si>
  <si>
    <t>FCC1900579</t>
  </si>
  <si>
    <t>FCC1900578</t>
  </si>
  <si>
    <t>FCC1900577</t>
  </si>
  <si>
    <t>FCC1900576</t>
  </si>
  <si>
    <t>FCC1900388</t>
  </si>
  <si>
    <t>FCC1900571</t>
  </si>
  <si>
    <t>FCC1900652</t>
  </si>
  <si>
    <t>FCC1900651</t>
  </si>
  <si>
    <t>FCC1900458</t>
  </si>
  <si>
    <t>FCC1900424</t>
  </si>
  <si>
    <t>FCC1900523</t>
  </si>
  <si>
    <t>FCC1900422</t>
  </si>
  <si>
    <t>FCC1900421</t>
  </si>
  <si>
    <t>FCC1900413</t>
  </si>
  <si>
    <t>FCC1900412</t>
  </si>
  <si>
    <t>FCC1900597</t>
  </si>
  <si>
    <t>FCC1900627</t>
  </si>
  <si>
    <t>FCC1900626</t>
  </si>
  <si>
    <t>FCC1900625</t>
  </si>
  <si>
    <t>FCC1900624</t>
  </si>
  <si>
    <t>FCC1900623</t>
  </si>
  <si>
    <t>FCC1900622</t>
  </si>
  <si>
    <t>FCC1900657</t>
  </si>
  <si>
    <t>FCC1900403</t>
  </si>
  <si>
    <t>FCC1900524</t>
  </si>
  <si>
    <t>FCC1900701</t>
  </si>
  <si>
    <t>FCC1900310</t>
  </si>
  <si>
    <t>FCC1900440</t>
  </si>
  <si>
    <t>FCC1900518</t>
  </si>
  <si>
    <t>FCC1900517</t>
  </si>
  <si>
    <t>FCC1900415</t>
  </si>
  <si>
    <t>FCC1900489</t>
  </si>
  <si>
    <t>FCC1900530</t>
  </si>
  <si>
    <t>FCC1900529</t>
  </si>
  <si>
    <t>FCC1900528</t>
  </si>
  <si>
    <t>FCC1900527</t>
  </si>
  <si>
    <t>FCC1900526</t>
  </si>
  <si>
    <t>FCC1900525</t>
  </si>
  <si>
    <t>FCC1900251</t>
  </si>
  <si>
    <t>FCC1900250</t>
  </si>
  <si>
    <t>FCC1900249</t>
  </si>
  <si>
    <t>FCC1900369</t>
  </si>
  <si>
    <t>FCC1900570</t>
  </si>
  <si>
    <t>FCC1900396</t>
  </si>
  <si>
    <t>FCC1900363</t>
  </si>
  <si>
    <t>FCC1900619</t>
  </si>
  <si>
    <t>FCC1900379</t>
  </si>
  <si>
    <t>FCC1900447</t>
  </si>
  <si>
    <t>FCC1900649</t>
  </si>
  <si>
    <t>FCC1900642</t>
  </si>
  <si>
    <t>FCC1900607</t>
  </si>
  <si>
    <t>FCC1900572</t>
  </si>
  <si>
    <t>FCC1900565</t>
  </si>
  <si>
    <t>FCC1900426</t>
  </si>
  <si>
    <t>FCC1900581</t>
  </si>
  <si>
    <t>FCC1900453</t>
  </si>
  <si>
    <t>FCC1900613</t>
  </si>
  <si>
    <t>FCC1900511</t>
  </si>
  <si>
    <t>FCC1900452</t>
  </si>
  <si>
    <t>FCC1900476</t>
  </si>
  <si>
    <t>FCC1900448</t>
  </si>
  <si>
    <t>FCC1900456</t>
  </si>
  <si>
    <t>FCC1900376</t>
  </si>
  <si>
    <t>FCC1900357</t>
  </si>
  <si>
    <t>FCC1900177</t>
  </si>
  <si>
    <t>FCC1900514</t>
  </si>
  <si>
    <t>FCC1900655</t>
  </si>
  <si>
    <t>FCC1900658</t>
  </si>
  <si>
    <t>FCC1900573</t>
  </si>
  <si>
    <t>B/2521</t>
  </si>
  <si>
    <t>FV19-00294</t>
  </si>
  <si>
    <t>A/24</t>
  </si>
  <si>
    <t>20190000014</t>
  </si>
  <si>
    <t>4/2019</t>
  </si>
  <si>
    <t>5/2019</t>
  </si>
  <si>
    <t>6/2019</t>
  </si>
  <si>
    <t>7/2019</t>
  </si>
  <si>
    <t>1900470</t>
  </si>
  <si>
    <t>160</t>
  </si>
  <si>
    <t>2101499</t>
  </si>
  <si>
    <t>H19/394</t>
  </si>
  <si>
    <t>414/19</t>
  </si>
  <si>
    <t>19/001003</t>
  </si>
  <si>
    <t>A-19.118</t>
  </si>
  <si>
    <t>B-1</t>
  </si>
  <si>
    <t>A-19.124</t>
  </si>
  <si>
    <t>A-19.123</t>
  </si>
  <si>
    <t>A-19.131</t>
  </si>
  <si>
    <t>A-19.125</t>
  </si>
  <si>
    <t>I-90874</t>
  </si>
  <si>
    <t>01874</t>
  </si>
  <si>
    <t>01864</t>
  </si>
  <si>
    <t>20190141</t>
  </si>
  <si>
    <t>20190194</t>
  </si>
  <si>
    <t>20190248</t>
  </si>
  <si>
    <t>009/2019</t>
  </si>
  <si>
    <t>FLG A7C10491</t>
  </si>
  <si>
    <t>FLG A7C07286</t>
  </si>
  <si>
    <t>FLL A7C02506</t>
  </si>
  <si>
    <t>FLL A7C86455</t>
  </si>
  <si>
    <t>FLL A7C36121</t>
  </si>
  <si>
    <t>FLG A7D17170</t>
  </si>
  <si>
    <t>FLG A7C81521</t>
  </si>
  <si>
    <t>FLG A7C70072</t>
  </si>
  <si>
    <t>FLG A7C31244</t>
  </si>
  <si>
    <t>BORME/2019/1626</t>
  </si>
  <si>
    <t>191.312</t>
  </si>
  <si>
    <t>191.634</t>
  </si>
  <si>
    <t>191.635</t>
  </si>
  <si>
    <t>FA001278</t>
  </si>
  <si>
    <t>T300020323</t>
  </si>
  <si>
    <t>00003135</t>
  </si>
  <si>
    <t>04-2019</t>
  </si>
  <si>
    <t>19/061</t>
  </si>
  <si>
    <t>A/2019223</t>
  </si>
  <si>
    <t>B/1908265</t>
  </si>
  <si>
    <t>B/1903579</t>
  </si>
  <si>
    <t>B/1885596</t>
  </si>
  <si>
    <t>B/1875326</t>
  </si>
  <si>
    <t>B/1912042</t>
  </si>
  <si>
    <t>B/1887019</t>
  </si>
  <si>
    <t>23/2019</t>
  </si>
  <si>
    <t>1545/2019</t>
  </si>
  <si>
    <t>1546/2019</t>
  </si>
  <si>
    <t>1548/19</t>
  </si>
  <si>
    <t>1547/19</t>
  </si>
  <si>
    <t>4-000034</t>
  </si>
  <si>
    <t>A19075</t>
  </si>
  <si>
    <t>2019/89</t>
  </si>
  <si>
    <t>19/817</t>
  </si>
  <si>
    <t>19/818</t>
  </si>
  <si>
    <t>09</t>
  </si>
  <si>
    <t>C00273/2019</t>
  </si>
  <si>
    <t>01TRPF0</t>
  </si>
  <si>
    <t>01TRFLX</t>
  </si>
  <si>
    <t>01TJ0UI</t>
  </si>
  <si>
    <t>01TJAP8</t>
  </si>
  <si>
    <t>01U0661</t>
  </si>
  <si>
    <t>01TZXG3</t>
  </si>
  <si>
    <t>189</t>
  </si>
  <si>
    <t>CONTRATO 828</t>
  </si>
  <si>
    <t>20190168</t>
  </si>
  <si>
    <t>20190167</t>
  </si>
  <si>
    <t>F19 88</t>
  </si>
  <si>
    <t>F19 86</t>
  </si>
  <si>
    <t>F19 87</t>
  </si>
  <si>
    <t>F19 141</t>
  </si>
  <si>
    <t>10/2019</t>
  </si>
  <si>
    <t>12/2019</t>
  </si>
  <si>
    <t>20190530</t>
  </si>
  <si>
    <t>833/2017</t>
  </si>
  <si>
    <t>351/2019</t>
  </si>
  <si>
    <t>491/2019</t>
  </si>
  <si>
    <t>539/2019</t>
  </si>
  <si>
    <t>603/2019</t>
  </si>
  <si>
    <t>701/2019</t>
  </si>
  <si>
    <t>S/19012537</t>
  </si>
  <si>
    <t>A 28180</t>
  </si>
  <si>
    <t>A 28183</t>
  </si>
  <si>
    <t>A 28334</t>
  </si>
  <si>
    <t>A 28399</t>
  </si>
  <si>
    <t>A 28620</t>
  </si>
  <si>
    <t>A 28160</t>
  </si>
  <si>
    <t>A 58</t>
  </si>
  <si>
    <t>A 63</t>
  </si>
  <si>
    <t>A 64</t>
  </si>
  <si>
    <t>A 88</t>
  </si>
  <si>
    <t>A 89</t>
  </si>
  <si>
    <t>A/1903204</t>
  </si>
  <si>
    <t>A/1903203</t>
  </si>
  <si>
    <t>21190429030013112</t>
  </si>
  <si>
    <t>21190429030000044</t>
  </si>
  <si>
    <t>21190429030000042</t>
  </si>
  <si>
    <t>21190429030000043</t>
  </si>
  <si>
    <t>21190429080000001</t>
  </si>
  <si>
    <t>09190429030005388</t>
  </si>
  <si>
    <t>21190429030006339</t>
  </si>
  <si>
    <t>21190429030011056</t>
  </si>
  <si>
    <t>21190429030017310</t>
  </si>
  <si>
    <t>21190429030017311</t>
  </si>
  <si>
    <t>21190429030017312</t>
  </si>
  <si>
    <t>21190530030000048</t>
  </si>
  <si>
    <t>21190530030000050</t>
  </si>
  <si>
    <t>21190530030000049</t>
  </si>
  <si>
    <t>21190530030000071</t>
  </si>
  <si>
    <t>21190530030000051</t>
  </si>
  <si>
    <t>21190429030000055</t>
  </si>
  <si>
    <t>21190429030000045</t>
  </si>
  <si>
    <t>21190530030016990</t>
  </si>
  <si>
    <t>09190530030005598</t>
  </si>
  <si>
    <t>21190530030006208</t>
  </si>
  <si>
    <t>21190530030010946</t>
  </si>
  <si>
    <t>21190530030016988</t>
  </si>
  <si>
    <t>21190530030016989</t>
  </si>
  <si>
    <t>21190627030000052</t>
  </si>
  <si>
    <t>21190627030000050</t>
  </si>
  <si>
    <t>21190627030012669</t>
  </si>
  <si>
    <t>21190627030016856</t>
  </si>
  <si>
    <t>21190627030016855</t>
  </si>
  <si>
    <t>21190627030016854</t>
  </si>
  <si>
    <t>21190627030010697</t>
  </si>
  <si>
    <t>21190627030006163</t>
  </si>
  <si>
    <t>21190627030000069</t>
  </si>
  <si>
    <t>21190627030000053</t>
  </si>
  <si>
    <t>21190627030000051</t>
  </si>
  <si>
    <t>09190627030005337</t>
  </si>
  <si>
    <t>19329</t>
  </si>
  <si>
    <t>103</t>
  </si>
  <si>
    <t>108</t>
  </si>
  <si>
    <t>112</t>
  </si>
  <si>
    <t>109/19</t>
  </si>
  <si>
    <t>110/19</t>
  </si>
  <si>
    <t>111/19</t>
  </si>
  <si>
    <t>112/19</t>
  </si>
  <si>
    <t>5196868</t>
  </si>
  <si>
    <t>5197376</t>
  </si>
  <si>
    <t>5200284</t>
  </si>
  <si>
    <t>5197854</t>
  </si>
  <si>
    <t>5201727</t>
  </si>
  <si>
    <t>5202876</t>
  </si>
  <si>
    <t>190423007</t>
  </si>
  <si>
    <t>2019/01</t>
  </si>
  <si>
    <t>A-0000091</t>
  </si>
  <si>
    <t>C-0000068</t>
  </si>
  <si>
    <t>9</t>
  </si>
  <si>
    <t>00 00000107</t>
  </si>
  <si>
    <t>00 00000163</t>
  </si>
  <si>
    <t>A16-19</t>
  </si>
  <si>
    <t>A/1110</t>
  </si>
  <si>
    <t>0000092189</t>
  </si>
  <si>
    <t>12-2019</t>
  </si>
  <si>
    <t>EI4496</t>
  </si>
  <si>
    <t>2019/0006988</t>
  </si>
  <si>
    <t>2019/0011229</t>
  </si>
  <si>
    <t>ELIK-153</t>
  </si>
  <si>
    <t>BH-076</t>
  </si>
  <si>
    <t>053-0005-332734</t>
  </si>
  <si>
    <t>7</t>
  </si>
  <si>
    <t>8</t>
  </si>
  <si>
    <t>19295</t>
  </si>
  <si>
    <t>19244</t>
  </si>
  <si>
    <t>19248</t>
  </si>
  <si>
    <t>19383</t>
  </si>
  <si>
    <t>19337</t>
  </si>
  <si>
    <t>19333</t>
  </si>
  <si>
    <t>19428</t>
  </si>
  <si>
    <t>19478</t>
  </si>
  <si>
    <t>19493</t>
  </si>
  <si>
    <t>19432</t>
  </si>
  <si>
    <t>7250152328</t>
  </si>
  <si>
    <t>7250152327</t>
  </si>
  <si>
    <t>7250152326</t>
  </si>
  <si>
    <t>7250153252</t>
  </si>
  <si>
    <t>7250153251</t>
  </si>
  <si>
    <t>7250154227</t>
  </si>
  <si>
    <t>0000436</t>
  </si>
  <si>
    <t>0000435</t>
  </si>
  <si>
    <t>0000169</t>
  </si>
  <si>
    <t>19/A-030</t>
  </si>
  <si>
    <t>19/A-031</t>
  </si>
  <si>
    <t>19/A-032</t>
  </si>
  <si>
    <t>19/A-037</t>
  </si>
  <si>
    <t>3903241</t>
  </si>
  <si>
    <t>3904454</t>
  </si>
  <si>
    <t>3905103</t>
  </si>
  <si>
    <t>3904111</t>
  </si>
  <si>
    <t>2019/06</t>
  </si>
  <si>
    <t>B/37932</t>
  </si>
  <si>
    <t>19-S-1.626</t>
  </si>
  <si>
    <t>19-S-2.612</t>
  </si>
  <si>
    <t>19-S-2.142</t>
  </si>
  <si>
    <t>E0300808O8</t>
  </si>
  <si>
    <t>E0300804VT</t>
  </si>
  <si>
    <t>E030087ZAK</t>
  </si>
  <si>
    <t>E0300880Y7</t>
  </si>
  <si>
    <t>E03008FNJD</t>
  </si>
  <si>
    <t>E03008FNQN</t>
  </si>
  <si>
    <t>28-D9M0-014976</t>
  </si>
  <si>
    <t>TA6560061881</t>
  </si>
  <si>
    <t>28-F9M0-087452</t>
  </si>
  <si>
    <t>28-E9M0-081632</t>
  </si>
  <si>
    <t>TA6570061021</t>
  </si>
  <si>
    <t>TA6580060935</t>
  </si>
  <si>
    <t>19/T00076</t>
  </si>
  <si>
    <t>19.212</t>
  </si>
  <si>
    <t>19.213</t>
  </si>
  <si>
    <t>19.214</t>
  </si>
  <si>
    <t>PUFN19/00439</t>
  </si>
  <si>
    <t>SUFN/1902477</t>
  </si>
  <si>
    <t>PO-190183</t>
  </si>
  <si>
    <t>190543</t>
  </si>
  <si>
    <t>SI2019006173</t>
  </si>
  <si>
    <t>SI2019009058</t>
  </si>
  <si>
    <t>SI2019010180</t>
  </si>
  <si>
    <t>SI2019011700</t>
  </si>
  <si>
    <t>133</t>
  </si>
  <si>
    <t>132</t>
  </si>
  <si>
    <t>146</t>
  </si>
  <si>
    <t>01-19</t>
  </si>
  <si>
    <t>03-19</t>
  </si>
  <si>
    <t>04-19</t>
  </si>
  <si>
    <t>0301904FV0159</t>
  </si>
  <si>
    <t>11/2019/2.277</t>
  </si>
  <si>
    <t>200/2019</t>
  </si>
  <si>
    <t>A6001640089</t>
  </si>
  <si>
    <t>1904C00413279</t>
  </si>
  <si>
    <t>1905C00397212</t>
  </si>
  <si>
    <t>1906c00435776</t>
  </si>
  <si>
    <t>162/19/GIP</t>
  </si>
  <si>
    <t>076/19/GIP</t>
  </si>
  <si>
    <t>184/19/GIP</t>
  </si>
  <si>
    <t>232/19/GIP</t>
  </si>
  <si>
    <t>19M8007</t>
  </si>
  <si>
    <t>511</t>
  </si>
  <si>
    <t>19/0054</t>
  </si>
  <si>
    <t>2019/000200</t>
  </si>
  <si>
    <t>FSBR19-00499</t>
  </si>
  <si>
    <t>190304051/01403</t>
  </si>
  <si>
    <t>A/001117</t>
  </si>
  <si>
    <t>A/001398</t>
  </si>
  <si>
    <t>A/001849</t>
  </si>
  <si>
    <t>0001113/19</t>
  </si>
  <si>
    <t>022/2019-E</t>
  </si>
  <si>
    <t>G-15092</t>
  </si>
  <si>
    <t>G-15173</t>
  </si>
  <si>
    <t>191253</t>
  </si>
  <si>
    <t>191624</t>
  </si>
  <si>
    <t>192030</t>
  </si>
  <si>
    <t>11/2019</t>
  </si>
  <si>
    <t>ZFV19-00011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</si>
</sst>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2D]dddd\,\ yyyy\.&quot;eko&quot;\ mmmm&quot;k &quot;d"/>
    <numFmt numFmtId="165" formatCode="0.0"/>
    <numFmt numFmtId="166" formatCode="#,##0.0"/>
    <numFmt numFmtId="167" formatCode="0.000000"/>
    <numFmt numFmtId="168" formatCode="0.00000"/>
    <numFmt numFmtId="169" formatCode="0.0000"/>
    <numFmt numFmtId="170" formatCode="0.000"/>
    <numFmt numFmtId="171" formatCode="#,##0.00_ ;\-#,##0.00\ "/>
    <numFmt numFmtId="172" formatCode="[$-C0A]dddd\,\ dd&quot; de &quot;mmmm&quot; de &quot;yyyy"/>
    <numFmt numFmtId="173" formatCode="yyyy/mm/dd"/>
    <numFmt numFmtId="174" formatCode="mmm\-yyyy"/>
    <numFmt numFmtId="175" formatCode="0.000000000"/>
    <numFmt numFmtId="176" formatCode="0.00000000"/>
    <numFmt numFmtId="177" formatCode="0.0000000"/>
  </numFmts>
  <fonts count="5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23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>
        <color indexed="63"/>
      </bottom>
    </border>
    <border>
      <left style="thin">
        <color indexed="55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hair">
        <color indexed="8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 style="hair">
        <color indexed="8"/>
      </right>
      <top>
        <color indexed="63"/>
      </top>
      <bottom style="medium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23"/>
      </bottom>
    </border>
    <border>
      <left style="hair">
        <color indexed="8"/>
      </left>
      <right style="medium">
        <color indexed="55"/>
      </right>
      <top>
        <color indexed="63"/>
      </top>
      <bottom style="medium">
        <color indexed="23"/>
      </bottom>
    </border>
    <border>
      <left style="medium">
        <color indexed="2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55"/>
      </right>
      <top style="hair">
        <color indexed="8"/>
      </top>
      <bottom style="medium">
        <color indexed="23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hair">
        <color indexed="8"/>
      </right>
      <top style="thin">
        <color indexed="55"/>
      </top>
      <bottom style="medium">
        <color indexed="23"/>
      </bottom>
    </border>
    <border>
      <left style="hair">
        <color indexed="8"/>
      </left>
      <right style="hair">
        <color indexed="8"/>
      </right>
      <top style="thin">
        <color indexed="55"/>
      </top>
      <bottom style="medium">
        <color indexed="23"/>
      </bottom>
    </border>
    <border>
      <left style="hair">
        <color indexed="8"/>
      </left>
      <right style="medium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6" borderId="4" applyNumberFormat="0" applyAlignment="0" applyProtection="0"/>
    <xf numFmtId="9" fontId="0" fillId="0" borderId="0" applyFill="0" applyBorder="0" applyAlignment="0" applyProtection="0"/>
    <xf numFmtId="0" fontId="43" fillId="0" borderId="5" applyNumberFormat="0" applyFill="0" applyAlignment="0" applyProtection="0"/>
    <xf numFmtId="0" fontId="44" fillId="27" borderId="0" applyNumberFormat="0" applyBorder="0" applyAlignment="0" applyProtection="0"/>
    <xf numFmtId="0" fontId="4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46" fillId="28" borderId="7" applyNumberFormat="0" applyAlignment="0" applyProtection="0"/>
    <xf numFmtId="0" fontId="47" fillId="28" borderId="8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29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30" borderId="9" applyNumberFormat="0" applyFon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8" applyNumberFormat="0" applyAlignment="0" applyProtection="0"/>
    <xf numFmtId="0" fontId="52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4" fillId="33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4" fillId="33" borderId="0" xfId="0" applyNumberFormat="1" applyFont="1" applyFill="1" applyAlignment="1">
      <alignment horizontal="center" wrapText="1"/>
    </xf>
    <xf numFmtId="3" fontId="4" fillId="34" borderId="0" xfId="0" applyNumberFormat="1" applyFont="1" applyFill="1" applyAlignment="1">
      <alignment horizontal="center" wrapText="1"/>
    </xf>
    <xf numFmtId="3" fontId="4" fillId="35" borderId="0" xfId="0" applyNumberFormat="1" applyFont="1" applyFill="1" applyAlignment="1">
      <alignment horizontal="center" wrapText="1"/>
    </xf>
    <xf numFmtId="3" fontId="4" fillId="36" borderId="0" xfId="0" applyNumberFormat="1" applyFont="1" applyFill="1" applyAlignment="1">
      <alignment horizontal="center" wrapText="1"/>
    </xf>
    <xf numFmtId="173" fontId="2" fillId="0" borderId="0" xfId="0" applyNumberFormat="1" applyFont="1" applyAlignment="1">
      <alignment/>
    </xf>
    <xf numFmtId="173" fontId="4" fillId="33" borderId="0" xfId="0" applyNumberFormat="1" applyFont="1" applyFill="1" applyAlignment="1">
      <alignment horizontal="center" wrapText="1"/>
    </xf>
    <xf numFmtId="173" fontId="4" fillId="0" borderId="0" xfId="0" applyNumberFormat="1" applyFont="1" applyAlignment="1">
      <alignment/>
    </xf>
    <xf numFmtId="173" fontId="4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4" fontId="4" fillId="38" borderId="12" xfId="0" applyNumberFormat="1" applyFont="1" applyFill="1" applyBorder="1" applyAlignment="1">
      <alignment/>
    </xf>
    <xf numFmtId="3" fontId="4" fillId="38" borderId="12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4" fillId="38" borderId="13" xfId="0" applyNumberFormat="1" applyFont="1" applyFill="1" applyBorder="1" applyAlignment="1">
      <alignment/>
    </xf>
    <xf numFmtId="4" fontId="4" fillId="38" borderId="13" xfId="0" applyNumberFormat="1" applyFont="1" applyFill="1" applyBorder="1" applyAlignment="1">
      <alignment/>
    </xf>
    <xf numFmtId="4" fontId="2" fillId="0" borderId="14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4" fontId="2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3" fontId="2" fillId="0" borderId="13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39" borderId="17" xfId="0" applyFont="1" applyFill="1" applyBorder="1" applyAlignment="1">
      <alignment/>
    </xf>
    <xf numFmtId="0" fontId="11" fillId="39" borderId="0" xfId="0" applyFont="1" applyFill="1" applyBorder="1" applyAlignment="1">
      <alignment/>
    </xf>
    <xf numFmtId="0" fontId="13" fillId="39" borderId="0" xfId="0" applyFont="1" applyFill="1" applyBorder="1" applyAlignment="1">
      <alignment horizontal="right"/>
    </xf>
    <xf numFmtId="0" fontId="11" fillId="39" borderId="16" xfId="0" applyFont="1" applyFill="1" applyBorder="1" applyAlignment="1">
      <alignment/>
    </xf>
    <xf numFmtId="0" fontId="14" fillId="39" borderId="0" xfId="0" applyFont="1" applyFill="1" applyBorder="1" applyAlignment="1">
      <alignment horizontal="right"/>
    </xf>
    <xf numFmtId="0" fontId="14" fillId="37" borderId="0" xfId="0" applyFont="1" applyFill="1" applyBorder="1" applyAlignment="1">
      <alignment horizontal="center"/>
    </xf>
    <xf numFmtId="0" fontId="15" fillId="39" borderId="0" xfId="0" applyFont="1" applyFill="1" applyBorder="1" applyAlignment="1">
      <alignment/>
    </xf>
    <xf numFmtId="0" fontId="11" fillId="39" borderId="18" xfId="0" applyFont="1" applyFill="1" applyBorder="1" applyAlignment="1">
      <alignment/>
    </xf>
    <xf numFmtId="0" fontId="11" fillId="39" borderId="19" xfId="0" applyFont="1" applyFill="1" applyBorder="1" applyAlignment="1">
      <alignment/>
    </xf>
    <xf numFmtId="0" fontId="14" fillId="39" borderId="19" xfId="0" applyFont="1" applyFill="1" applyBorder="1" applyAlignment="1">
      <alignment horizontal="right"/>
    </xf>
    <xf numFmtId="0" fontId="14" fillId="37" borderId="19" xfId="0" applyFont="1" applyFill="1" applyBorder="1" applyAlignment="1">
      <alignment horizontal="center"/>
    </xf>
    <xf numFmtId="0" fontId="15" fillId="39" borderId="19" xfId="0" applyFont="1" applyFill="1" applyBorder="1" applyAlignment="1">
      <alignment/>
    </xf>
    <xf numFmtId="0" fontId="11" fillId="39" borderId="2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4" fillId="37" borderId="21" xfId="0" applyFont="1" applyFill="1" applyBorder="1" applyAlignment="1">
      <alignment horizontal="center" vertical="center" wrapText="1"/>
    </xf>
    <xf numFmtId="3" fontId="4" fillId="38" borderId="22" xfId="0" applyNumberFormat="1" applyFont="1" applyFill="1" applyBorder="1" applyAlignment="1">
      <alignment/>
    </xf>
    <xf numFmtId="3" fontId="4" fillId="38" borderId="16" xfId="0" applyNumberFormat="1" applyFont="1" applyFill="1" applyBorder="1" applyAlignment="1">
      <alignment/>
    </xf>
    <xf numFmtId="0" fontId="4" fillId="37" borderId="23" xfId="0" applyFont="1" applyFill="1" applyBorder="1" applyAlignment="1">
      <alignment horizontal="center" vertical="center" wrapText="1"/>
    </xf>
    <xf numFmtId="4" fontId="4" fillId="38" borderId="24" xfId="0" applyNumberFormat="1" applyFont="1" applyFill="1" applyBorder="1" applyAlignment="1">
      <alignment/>
    </xf>
    <xf numFmtId="4" fontId="4" fillId="38" borderId="25" xfId="0" applyNumberFormat="1" applyFont="1" applyFill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4" fillId="37" borderId="23" xfId="0" applyFont="1" applyFill="1" applyBorder="1" applyAlignment="1">
      <alignment horizontal="center" wrapText="1"/>
    </xf>
    <xf numFmtId="0" fontId="4" fillId="37" borderId="11" xfId="0" applyFont="1" applyFill="1" applyBorder="1" applyAlignment="1">
      <alignment horizontal="center" wrapText="1"/>
    </xf>
    <xf numFmtId="3" fontId="2" fillId="0" borderId="24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4" fillId="37" borderId="27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4" fontId="4" fillId="38" borderId="29" xfId="0" applyNumberFormat="1" applyFont="1" applyFill="1" applyBorder="1" applyAlignment="1">
      <alignment/>
    </xf>
    <xf numFmtId="4" fontId="4" fillId="38" borderId="30" xfId="0" applyNumberFormat="1" applyFont="1" applyFill="1" applyBorder="1" applyAlignment="1">
      <alignment/>
    </xf>
    <xf numFmtId="3" fontId="4" fillId="38" borderId="31" xfId="0" applyNumberFormat="1" applyFont="1" applyFill="1" applyBorder="1" applyAlignment="1">
      <alignment/>
    </xf>
    <xf numFmtId="4" fontId="4" fillId="38" borderId="32" xfId="0" applyNumberFormat="1" applyFont="1" applyFill="1" applyBorder="1" applyAlignment="1">
      <alignment/>
    </xf>
    <xf numFmtId="3" fontId="4" fillId="38" borderId="32" xfId="0" applyNumberFormat="1" applyFont="1" applyFill="1" applyBorder="1" applyAlignment="1">
      <alignment/>
    </xf>
    <xf numFmtId="3" fontId="4" fillId="38" borderId="33" xfId="0" applyNumberFormat="1" applyFont="1" applyFill="1" applyBorder="1" applyAlignment="1">
      <alignment/>
    </xf>
    <xf numFmtId="4" fontId="4" fillId="38" borderId="34" xfId="0" applyNumberFormat="1" applyFont="1" applyFill="1" applyBorder="1" applyAlignment="1">
      <alignment/>
    </xf>
    <xf numFmtId="4" fontId="4" fillId="38" borderId="35" xfId="0" applyNumberFormat="1" applyFont="1" applyFill="1" applyBorder="1" applyAlignment="1">
      <alignment/>
    </xf>
    <xf numFmtId="0" fontId="4" fillId="37" borderId="36" xfId="0" applyFont="1" applyFill="1" applyBorder="1" applyAlignment="1">
      <alignment horizontal="center" vertical="center" wrapText="1"/>
    </xf>
    <xf numFmtId="0" fontId="4" fillId="37" borderId="37" xfId="0" applyFont="1" applyFill="1" applyBorder="1" applyAlignment="1">
      <alignment horizontal="center" vertical="center" wrapText="1"/>
    </xf>
    <xf numFmtId="4" fontId="2" fillId="0" borderId="38" xfId="0" applyNumberFormat="1" applyFont="1" applyBorder="1" applyAlignment="1">
      <alignment/>
    </xf>
    <xf numFmtId="4" fontId="4" fillId="38" borderId="31" xfId="0" applyNumberFormat="1" applyFont="1" applyFill="1" applyBorder="1" applyAlignment="1">
      <alignment/>
    </xf>
    <xf numFmtId="4" fontId="4" fillId="38" borderId="39" xfId="0" applyNumberFormat="1" applyFont="1" applyFill="1" applyBorder="1" applyAlignment="1">
      <alignment/>
    </xf>
    <xf numFmtId="2" fontId="2" fillId="0" borderId="38" xfId="0" applyNumberFormat="1" applyFont="1" applyBorder="1" applyAlignment="1">
      <alignment/>
    </xf>
    <xf numFmtId="2" fontId="4" fillId="38" borderId="32" xfId="0" applyNumberFormat="1" applyFont="1" applyFill="1" applyBorder="1" applyAlignment="1">
      <alignment/>
    </xf>
    <xf numFmtId="2" fontId="4" fillId="38" borderId="39" xfId="0" applyNumberFormat="1" applyFont="1" applyFill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4" fontId="4" fillId="38" borderId="38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0" fontId="2" fillId="0" borderId="42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43" xfId="0" applyNumberFormat="1" applyFont="1" applyFill="1" applyBorder="1" applyAlignment="1">
      <alignment horizontal="left"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4" fontId="2" fillId="40" borderId="41" xfId="0" applyNumberFormat="1" applyFont="1" applyFill="1" applyBorder="1" applyAlignment="1">
      <alignment/>
    </xf>
    <xf numFmtId="4" fontId="2" fillId="40" borderId="46" xfId="0" applyNumberFormat="1" applyFont="1" applyFill="1" applyBorder="1" applyAlignment="1">
      <alignment/>
    </xf>
    <xf numFmtId="3" fontId="2" fillId="40" borderId="20" xfId="0" applyNumberFormat="1" applyFont="1" applyFill="1" applyBorder="1" applyAlignment="1">
      <alignment/>
    </xf>
    <xf numFmtId="4" fontId="2" fillId="40" borderId="14" xfId="0" applyNumberFormat="1" applyFont="1" applyFill="1" applyBorder="1" applyAlignment="1">
      <alignment/>
    </xf>
    <xf numFmtId="3" fontId="2" fillId="40" borderId="14" xfId="0" applyNumberFormat="1" applyFont="1" applyFill="1" applyBorder="1" applyAlignment="1">
      <alignment/>
    </xf>
    <xf numFmtId="4" fontId="2" fillId="40" borderId="38" xfId="0" applyNumberFormat="1" applyFont="1" applyFill="1" applyBorder="1" applyAlignment="1">
      <alignment/>
    </xf>
    <xf numFmtId="4" fontId="2" fillId="0" borderId="47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/>
    </xf>
    <xf numFmtId="2" fontId="17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2" fillId="0" borderId="48" xfId="0" applyFont="1" applyFill="1" applyBorder="1" applyAlignment="1">
      <alignment/>
    </xf>
    <xf numFmtId="173" fontId="2" fillId="0" borderId="48" xfId="0" applyNumberFormat="1" applyFont="1" applyBorder="1" applyAlignment="1">
      <alignment/>
    </xf>
    <xf numFmtId="14" fontId="2" fillId="41" borderId="0" xfId="0" applyNumberFormat="1" applyFont="1" applyFill="1" applyAlignment="1">
      <alignment/>
    </xf>
    <xf numFmtId="49" fontId="36" fillId="0" borderId="0" xfId="58" applyNumberFormat="1">
      <alignment/>
      <protection/>
    </xf>
    <xf numFmtId="14" fontId="36" fillId="0" borderId="0" xfId="58" applyNumberFormat="1">
      <alignment/>
      <protection/>
    </xf>
    <xf numFmtId="4" fontId="36" fillId="0" borderId="0" xfId="58" applyNumberFormat="1">
      <alignment/>
      <protection/>
    </xf>
    <xf numFmtId="173" fontId="35" fillId="0" borderId="0" xfId="0" applyNumberFormat="1" applyFont="1" applyAlignment="1">
      <alignment/>
    </xf>
    <xf numFmtId="49" fontId="36" fillId="0" borderId="0" xfId="58" applyNumberFormat="1">
      <alignment/>
      <protection/>
    </xf>
    <xf numFmtId="14" fontId="36" fillId="0" borderId="0" xfId="58" applyNumberFormat="1">
      <alignment/>
      <protection/>
    </xf>
    <xf numFmtId="49" fontId="36" fillId="0" borderId="0" xfId="58" applyNumberFormat="1">
      <alignment/>
      <protection/>
    </xf>
    <xf numFmtId="0" fontId="36" fillId="0" borderId="0" xfId="58">
      <alignment/>
      <protection/>
    </xf>
    <xf numFmtId="14" fontId="36" fillId="0" borderId="0" xfId="58" applyNumberFormat="1">
      <alignment/>
      <protection/>
    </xf>
    <xf numFmtId="173" fontId="35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2" fontId="9" fillId="0" borderId="19" xfId="0" applyNumberFormat="1" applyFont="1" applyBorder="1" applyAlignment="1">
      <alignment horizontal="center"/>
    </xf>
    <xf numFmtId="0" fontId="12" fillId="42" borderId="49" xfId="0" applyFont="1" applyFill="1" applyBorder="1" applyAlignment="1">
      <alignment horizontal="center"/>
    </xf>
    <xf numFmtId="0" fontId="12" fillId="42" borderId="50" xfId="0" applyFont="1" applyFill="1" applyBorder="1" applyAlignment="1">
      <alignment horizontal="center"/>
    </xf>
    <xf numFmtId="0" fontId="12" fillId="42" borderId="22" xfId="0" applyFont="1" applyFill="1" applyBorder="1" applyAlignment="1">
      <alignment horizontal="center"/>
    </xf>
    <xf numFmtId="0" fontId="13" fillId="37" borderId="0" xfId="0" applyFont="1" applyFill="1" applyBorder="1" applyAlignment="1">
      <alignment/>
    </xf>
    <xf numFmtId="0" fontId="4" fillId="37" borderId="51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4" fillId="37" borderId="52" xfId="0" applyFont="1" applyFill="1" applyBorder="1" applyAlignment="1">
      <alignment horizontal="center" vertical="center" wrapText="1"/>
    </xf>
    <xf numFmtId="0" fontId="4" fillId="37" borderId="53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54" xfId="0" applyFont="1" applyFill="1" applyBorder="1" applyAlignment="1">
      <alignment horizontal="center" vertical="center" wrapText="1"/>
    </xf>
    <xf numFmtId="0" fontId="4" fillId="37" borderId="55" xfId="0" applyFont="1" applyFill="1" applyBorder="1" applyAlignment="1">
      <alignment horizontal="center"/>
    </xf>
    <xf numFmtId="0" fontId="4" fillId="37" borderId="56" xfId="0" applyFont="1" applyFill="1" applyBorder="1" applyAlignment="1">
      <alignment horizontal="center"/>
    </xf>
    <xf numFmtId="0" fontId="4" fillId="37" borderId="36" xfId="0" applyFont="1" applyFill="1" applyBorder="1" applyAlignment="1">
      <alignment horizontal="center"/>
    </xf>
    <xf numFmtId="0" fontId="4" fillId="37" borderId="27" xfId="0" applyFont="1" applyFill="1" applyBorder="1" applyAlignment="1">
      <alignment horizontal="center"/>
    </xf>
    <xf numFmtId="0" fontId="4" fillId="37" borderId="37" xfId="0" applyFont="1" applyFill="1" applyBorder="1" applyAlignment="1">
      <alignment horizontal="center"/>
    </xf>
    <xf numFmtId="0" fontId="4" fillId="37" borderId="41" xfId="0" applyFont="1" applyFill="1" applyBorder="1" applyAlignment="1">
      <alignment horizontal="center"/>
    </xf>
    <xf numFmtId="0" fontId="4" fillId="37" borderId="46" xfId="0" applyFont="1" applyFill="1" applyBorder="1" applyAlignment="1">
      <alignment horizontal="center"/>
    </xf>
    <xf numFmtId="0" fontId="4" fillId="37" borderId="21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7" borderId="28" xfId="0" applyFont="1" applyFill="1" applyBorder="1" applyAlignment="1">
      <alignment horizontal="center"/>
    </xf>
    <xf numFmtId="0" fontId="4" fillId="38" borderId="42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4" fillId="38" borderId="57" xfId="0" applyFont="1" applyFill="1" applyBorder="1" applyAlignment="1">
      <alignment horizontal="right"/>
    </xf>
    <xf numFmtId="0" fontId="4" fillId="38" borderId="58" xfId="0" applyFont="1" applyFill="1" applyBorder="1" applyAlignment="1">
      <alignment horizontal="right"/>
    </xf>
    <xf numFmtId="0" fontId="4" fillId="37" borderId="59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36" xfId="0" applyFont="1" applyFill="1" applyBorder="1" applyAlignment="1">
      <alignment horizontal="center" wrapText="1"/>
    </xf>
    <xf numFmtId="0" fontId="4" fillId="37" borderId="27" xfId="0" applyFont="1" applyFill="1" applyBorder="1" applyAlignment="1">
      <alignment horizontal="center" wrapText="1"/>
    </xf>
    <xf numFmtId="0" fontId="4" fillId="37" borderId="3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43" xfId="0" applyNumberFormat="1" applyFont="1" applyFill="1" applyBorder="1" applyAlignment="1">
      <alignment horizontal="left"/>
    </xf>
    <xf numFmtId="0" fontId="2" fillId="0" borderId="60" xfId="0" applyFont="1" applyFill="1" applyBorder="1" applyAlignment="1">
      <alignment/>
    </xf>
    <xf numFmtId="0" fontId="4" fillId="43" borderId="61" xfId="0" applyFont="1" applyFill="1" applyBorder="1" applyAlignment="1">
      <alignment horizontal="right"/>
    </xf>
    <xf numFmtId="0" fontId="4" fillId="43" borderId="62" xfId="0" applyFont="1" applyFill="1" applyBorder="1" applyAlignment="1">
      <alignment horizontal="right"/>
    </xf>
    <xf numFmtId="0" fontId="4" fillId="43" borderId="63" xfId="0" applyFont="1" applyFill="1" applyBorder="1" applyAlignment="1">
      <alignment horizontal="right"/>
    </xf>
    <xf numFmtId="0" fontId="4" fillId="38" borderId="64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0" fontId="4" fillId="38" borderId="49" xfId="0" applyFont="1" applyFill="1" applyBorder="1" applyAlignment="1">
      <alignment/>
    </xf>
    <xf numFmtId="0" fontId="4" fillId="38" borderId="65" xfId="0" applyFont="1" applyFill="1" applyBorder="1" applyAlignment="1">
      <alignment/>
    </xf>
    <xf numFmtId="0" fontId="4" fillId="38" borderId="13" xfId="0" applyFont="1" applyFill="1" applyBorder="1" applyAlignment="1">
      <alignment/>
    </xf>
    <xf numFmtId="0" fontId="4" fillId="38" borderId="17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4" fillId="43" borderId="66" xfId="0" applyFont="1" applyFill="1" applyBorder="1" applyAlignment="1">
      <alignment horizontal="right"/>
    </xf>
    <xf numFmtId="0" fontId="4" fillId="43" borderId="34" xfId="0" applyFont="1" applyFill="1" applyBorder="1" applyAlignment="1">
      <alignment horizontal="right"/>
    </xf>
    <xf numFmtId="0" fontId="4" fillId="43" borderId="67" xfId="0" applyFont="1" applyFill="1" applyBorder="1" applyAlignment="1">
      <alignment horizontal="right"/>
    </xf>
    <xf numFmtId="0" fontId="2" fillId="0" borderId="50" xfId="0" applyFont="1" applyFill="1" applyBorder="1" applyAlignment="1">
      <alignment/>
    </xf>
    <xf numFmtId="0" fontId="2" fillId="0" borderId="68" xfId="0" applyFont="1" applyFill="1" applyBorder="1" applyAlignment="1">
      <alignment/>
    </xf>
    <xf numFmtId="0" fontId="4" fillId="43" borderId="69" xfId="0" applyFont="1" applyFill="1" applyBorder="1" applyAlignment="1">
      <alignment horizontal="right"/>
    </xf>
    <xf numFmtId="0" fontId="4" fillId="43" borderId="32" xfId="0" applyFont="1" applyFill="1" applyBorder="1" applyAlignment="1">
      <alignment horizontal="right"/>
    </xf>
    <xf numFmtId="0" fontId="4" fillId="43" borderId="30" xfId="0" applyFont="1" applyFill="1" applyBorder="1" applyAlignment="1">
      <alignment horizontal="right"/>
    </xf>
    <xf numFmtId="0" fontId="2" fillId="40" borderId="70" xfId="0" applyFont="1" applyFill="1" applyBorder="1" applyAlignment="1">
      <alignment horizontal="left" vertical="top" wrapText="1"/>
    </xf>
    <xf numFmtId="0" fontId="2" fillId="40" borderId="71" xfId="0" applyFont="1" applyFill="1" applyBorder="1" applyAlignment="1">
      <alignment horizontal="left" vertical="top" wrapText="1"/>
    </xf>
    <xf numFmtId="0" fontId="4" fillId="43" borderId="72" xfId="0" applyFont="1" applyFill="1" applyBorder="1" applyAlignment="1">
      <alignment horizontal="right"/>
    </xf>
    <xf numFmtId="0" fontId="4" fillId="43" borderId="73" xfId="0" applyFont="1" applyFill="1" applyBorder="1" applyAlignment="1">
      <alignment horizontal="right"/>
    </xf>
    <xf numFmtId="0" fontId="4" fillId="43" borderId="74" xfId="0" applyFont="1" applyFill="1" applyBorder="1" applyAlignment="1">
      <alignment horizontal="right"/>
    </xf>
    <xf numFmtId="0" fontId="4" fillId="37" borderId="51" xfId="0" applyFont="1" applyFill="1" applyBorder="1" applyAlignment="1">
      <alignment horizontal="center" wrapText="1"/>
    </xf>
    <xf numFmtId="0" fontId="2" fillId="0" borderId="27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54" xfId="0" applyFont="1" applyBorder="1" applyAlignment="1">
      <alignment/>
    </xf>
    <xf numFmtId="0" fontId="4" fillId="37" borderId="75" xfId="0" applyFont="1" applyFill="1" applyBorder="1" applyAlignment="1">
      <alignment horizontal="center" wrapText="1"/>
    </xf>
    <xf numFmtId="0" fontId="2" fillId="0" borderId="76" xfId="0" applyFont="1" applyBorder="1" applyAlignment="1">
      <alignment/>
    </xf>
    <xf numFmtId="0" fontId="2" fillId="0" borderId="6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4" fillId="37" borderId="78" xfId="0" applyFont="1" applyFill="1" applyBorder="1" applyAlignment="1">
      <alignment horizontal="center" wrapText="1"/>
    </xf>
    <xf numFmtId="0" fontId="4" fillId="37" borderId="59" xfId="0" applyFont="1" applyFill="1" applyBorder="1" applyAlignment="1">
      <alignment horizontal="center" wrapText="1"/>
    </xf>
    <xf numFmtId="173" fontId="2" fillId="0" borderId="79" xfId="0" applyNumberFormat="1" applyFont="1" applyBorder="1" applyAlignment="1">
      <alignment horizontal="left"/>
    </xf>
    <xf numFmtId="173" fontId="2" fillId="0" borderId="80" xfId="0" applyNumberFormat="1" applyFont="1" applyBorder="1" applyAlignment="1">
      <alignment horizontal="left"/>
    </xf>
  </cellXfs>
  <cellStyles count="51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 2" xfId="58"/>
    <cellStyle name="Normala_PAGADO" xfId="59"/>
    <cellStyle name="Oharra" xfId="60"/>
    <cellStyle name="Ohar-testua" xfId="61"/>
    <cellStyle name="Ondo" xfId="62"/>
    <cellStyle name="Sarrera" xfId="63"/>
    <cellStyle name="Titulua" xfId="64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Orria1"/>
  <dimension ref="A1:I93"/>
  <sheetViews>
    <sheetView tabSelected="1" zoomScalePageLayoutView="0" workbookViewId="0" topLeftCell="A55">
      <selection activeCell="I59" sqref="I59"/>
    </sheetView>
  </sheetViews>
  <sheetFormatPr defaultColWidth="9.140625" defaultRowHeight="12.75" customHeight="1"/>
  <cols>
    <col min="1" max="1" width="3.140625" style="2" customWidth="1"/>
    <col min="2" max="2" width="6.140625" style="2" customWidth="1"/>
    <col min="3" max="3" width="34.00390625" style="2" bestFit="1" customWidth="1"/>
    <col min="4" max="9" width="13.7109375" style="2" customWidth="1"/>
    <col min="10" max="16384" width="9.140625" style="2" customWidth="1"/>
  </cols>
  <sheetData>
    <row r="1" spans="1:2" ht="12.75" customHeight="1">
      <c r="A1" s="132">
        <f>SUMSQ(D27:I27,D39:F40,D59:I59,D72:F72,D82:F83,E91:H91)</f>
        <v>1757473485.1507928</v>
      </c>
      <c r="B1" s="132"/>
    </row>
    <row r="2" spans="1:9" s="43" customFormat="1" ht="15.75" customHeight="1">
      <c r="A2" s="133" t="s">
        <v>21</v>
      </c>
      <c r="B2" s="134"/>
      <c r="C2" s="134"/>
      <c r="D2" s="134"/>
      <c r="E2" s="134"/>
      <c r="F2" s="134"/>
      <c r="G2" s="134"/>
      <c r="H2" s="134"/>
      <c r="I2" s="135"/>
    </row>
    <row r="3" spans="1:9" s="43" customFormat="1" ht="15.75" customHeight="1">
      <c r="A3" s="44"/>
      <c r="B3" s="45"/>
      <c r="C3" s="46" t="s">
        <v>4</v>
      </c>
      <c r="D3" s="136" t="s">
        <v>108</v>
      </c>
      <c r="E3" s="136"/>
      <c r="F3" s="136"/>
      <c r="G3" s="136"/>
      <c r="H3" s="45"/>
      <c r="I3" s="47"/>
    </row>
    <row r="4" spans="1:9" s="43" customFormat="1" ht="15.75" customHeight="1">
      <c r="A4" s="44"/>
      <c r="B4" s="45"/>
      <c r="C4" s="48" t="s">
        <v>5</v>
      </c>
      <c r="D4" s="49">
        <v>2019</v>
      </c>
      <c r="E4" s="50"/>
      <c r="F4" s="45"/>
      <c r="G4" s="45"/>
      <c r="H4" s="45"/>
      <c r="I4" s="47"/>
    </row>
    <row r="5" spans="1:9" s="43" customFormat="1" ht="15.75" customHeight="1">
      <c r="A5" s="51"/>
      <c r="B5" s="52"/>
      <c r="C5" s="53" t="s">
        <v>6</v>
      </c>
      <c r="D5" s="54">
        <v>2</v>
      </c>
      <c r="E5" s="55"/>
      <c r="F5" s="52"/>
      <c r="G5" s="52"/>
      <c r="H5" s="52"/>
      <c r="I5" s="56"/>
    </row>
    <row r="6" spans="1:9" ht="12.75" customHeight="1">
      <c r="A6" s="20"/>
      <c r="B6" s="20"/>
      <c r="C6" s="21"/>
      <c r="D6" s="22"/>
      <c r="E6" s="22"/>
      <c r="F6" s="20"/>
      <c r="G6" s="20"/>
      <c r="H6" s="20"/>
      <c r="I6" s="20"/>
    </row>
    <row r="7" spans="1:9" ht="12.75" customHeight="1">
      <c r="A7" s="20"/>
      <c r="B7" s="20"/>
      <c r="C7" s="21"/>
      <c r="D7" s="22"/>
      <c r="E7" s="22"/>
      <c r="F7" s="20"/>
      <c r="G7" s="20"/>
      <c r="H7" s="20"/>
      <c r="I7" s="20"/>
    </row>
    <row r="9" s="43" customFormat="1" ht="15.75">
      <c r="A9" s="42" t="s">
        <v>28</v>
      </c>
    </row>
    <row r="10" ht="12.75" customHeight="1">
      <c r="A10" s="4"/>
    </row>
    <row r="11" ht="12.75" customHeight="1">
      <c r="A11" s="4"/>
    </row>
    <row r="12" s="19" customFormat="1" ht="13.5" thickBot="1">
      <c r="A12" s="1" t="s">
        <v>29</v>
      </c>
    </row>
    <row r="13" spans="1:9" ht="12.75" customHeight="1">
      <c r="A13" s="137" t="s">
        <v>22</v>
      </c>
      <c r="B13" s="138"/>
      <c r="C13" s="139"/>
      <c r="D13" s="143" t="s">
        <v>33</v>
      </c>
      <c r="E13" s="144"/>
      <c r="F13" s="145" t="s">
        <v>14</v>
      </c>
      <c r="G13" s="146"/>
      <c r="H13" s="146"/>
      <c r="I13" s="147"/>
    </row>
    <row r="14" spans="1:9" ht="12.75" customHeight="1">
      <c r="A14" s="140"/>
      <c r="B14" s="141"/>
      <c r="C14" s="142"/>
      <c r="D14" s="148" t="s">
        <v>46</v>
      </c>
      <c r="E14" s="149"/>
      <c r="F14" s="150" t="s">
        <v>35</v>
      </c>
      <c r="G14" s="151"/>
      <c r="H14" s="151" t="s">
        <v>36</v>
      </c>
      <c r="I14" s="152"/>
    </row>
    <row r="15" spans="1:9" ht="22.5">
      <c r="A15" s="140"/>
      <c r="B15" s="141"/>
      <c r="C15" s="142"/>
      <c r="D15" s="64" t="s">
        <v>11</v>
      </c>
      <c r="E15" s="24" t="s">
        <v>34</v>
      </c>
      <c r="F15" s="61" t="s">
        <v>12</v>
      </c>
      <c r="G15" s="23" t="s">
        <v>13</v>
      </c>
      <c r="H15" s="23" t="s">
        <v>12</v>
      </c>
      <c r="I15" s="75" t="s">
        <v>13</v>
      </c>
    </row>
    <row r="16" spans="1:9" ht="12.75" customHeight="1">
      <c r="A16" s="153" t="s">
        <v>18</v>
      </c>
      <c r="B16" s="154"/>
      <c r="C16" s="154"/>
      <c r="D16" s="65">
        <f>IF(G16+I16=0,0,(D17*(G17+I17)+D18*(G18+I18)+D19*(G19+I19)+D20*(G20+I20)+D21*(G21+I21))/(G16+I16))</f>
        <v>0</v>
      </c>
      <c r="E16" s="66">
        <f>IF(I16=0,0,(E17*I17+E18*I18+E19*I19+E20*I20+E21*I21)/I16)</f>
        <v>0</v>
      </c>
      <c r="F16" s="62">
        <f>SUM(F17:F21)</f>
        <v>200</v>
      </c>
      <c r="G16" s="25">
        <f>SUM(G17:G21)</f>
        <v>137233.04000000004</v>
      </c>
      <c r="H16" s="26">
        <f>SUM(H17:H21)</f>
        <v>0</v>
      </c>
      <c r="I16" s="96">
        <f>SUM(I17:I21)</f>
        <v>0</v>
      </c>
    </row>
    <row r="17" spans="1:9" ht="12.75" customHeight="1">
      <c r="A17" s="99"/>
      <c r="B17" s="100" t="s">
        <v>0</v>
      </c>
      <c r="C17" s="20" t="s">
        <v>7</v>
      </c>
      <c r="D17" s="67">
        <f>IF(F17+H17=0,0,SUMIF(xehet1!S:S,20,xehet1!T:T)/SUMIF(xehet1!S:S,20,xehet1!D:D))</f>
        <v>0</v>
      </c>
      <c r="E17" s="39">
        <f>IF(H17=0,0,SUMIF(xehet1!V:V,220,xehet1!T:T)/SUMIF(xehet1!V:V,220,xehet1!D:D))</f>
        <v>0</v>
      </c>
      <c r="F17" s="40">
        <f>COUNTIF(xehet1!V:V,120)</f>
        <v>12</v>
      </c>
      <c r="G17" s="27">
        <f>SUMIF(xehet1!V:V,120,xehet1!D:D)</f>
        <v>3714.1800000000003</v>
      </c>
      <c r="H17" s="28">
        <f>COUNTIF(xehet1!V:V,220)</f>
        <v>0</v>
      </c>
      <c r="I17" s="86">
        <f>SUMIF(xehet1!V:V,220,xehet1!D:D)</f>
        <v>0</v>
      </c>
    </row>
    <row r="18" spans="1:9" ht="12.75" customHeight="1">
      <c r="A18" s="99"/>
      <c r="B18" s="100" t="s">
        <v>1</v>
      </c>
      <c r="C18" s="20" t="s">
        <v>19</v>
      </c>
      <c r="D18" s="67">
        <f>IF(F18+H18=0,0,SUMIF(xehet1!S:S,21,xehet1!T:T)/SUMIF(xehet1!S:S,21,xehet1!D:D))</f>
        <v>0</v>
      </c>
      <c r="E18" s="39">
        <f>IF(H18=0,0,SUMIF(xehet1!V:V,221,xehet1!T:T)/SUMIF(xehet1!V:V,221,xehet1!D:D))</f>
        <v>0</v>
      </c>
      <c r="F18" s="40">
        <f>COUNTIF(xehet1!V:V,121)</f>
        <v>34</v>
      </c>
      <c r="G18" s="27">
        <f>SUMIF(xehet1!V:V,121,xehet1!D:D)</f>
        <v>5455.709999999999</v>
      </c>
      <c r="H18" s="28">
        <f>COUNTIF(xehet1!V:V,221)</f>
        <v>0</v>
      </c>
      <c r="I18" s="86">
        <f>SUMIF(xehet1!V:V,221,xehet1!D:D)</f>
        <v>0</v>
      </c>
    </row>
    <row r="19" spans="1:9" ht="12.75" customHeight="1">
      <c r="A19" s="99"/>
      <c r="B19" s="100" t="s">
        <v>2</v>
      </c>
      <c r="C19" s="20" t="s">
        <v>8</v>
      </c>
      <c r="D19" s="67">
        <f>IF(F19+H19=0,0,SUMIF(xehet1!S:S,22,xehet1!T:T)/SUMIF(xehet1!S:S,22,xehet1!D:D))</f>
        <v>0</v>
      </c>
      <c r="E19" s="39">
        <f>IF(H19=0,0,SUMIF(xehet1!V:V,222,xehet1!T:T)/SUMIF(xehet1!V:V,222,xehet1!D:D))</f>
        <v>0</v>
      </c>
      <c r="F19" s="40">
        <f>COUNTIF(xehet1!V:V,122)</f>
        <v>18</v>
      </c>
      <c r="G19" s="27">
        <f>SUMIF(xehet1!V:V,122,xehet1!D:D)</f>
        <v>12454.059999999998</v>
      </c>
      <c r="H19" s="28">
        <f>COUNTIF(xehet1!V:V,222)</f>
        <v>0</v>
      </c>
      <c r="I19" s="86">
        <f>SUMIF(xehet1!V:V,222,xehet1!D:D)</f>
        <v>0</v>
      </c>
    </row>
    <row r="20" spans="1:9" ht="12.75" customHeight="1">
      <c r="A20" s="99"/>
      <c r="B20" s="100" t="s">
        <v>3</v>
      </c>
      <c r="C20" s="20" t="s">
        <v>9</v>
      </c>
      <c r="D20" s="67">
        <f>IF(F20+H20=0,0,SUMIF(xehet1!S:S,23,xehet1!T:T)/SUMIF(xehet1!S:S,23,xehet1!D:D))</f>
        <v>0</v>
      </c>
      <c r="E20" s="39">
        <f>IF(H20=0,0,SUMIF(xehet1!V:V,223,xehet1!T:T)/SUMIF(xehet1!V:V,223,xehet1!D:D))</f>
        <v>0</v>
      </c>
      <c r="F20" s="40">
        <f>COUNTIF(xehet1!V:V,123)</f>
        <v>0</v>
      </c>
      <c r="G20" s="27">
        <f>SUMIF(xehet1!V:V,123,xehet1!D:D)</f>
        <v>0</v>
      </c>
      <c r="H20" s="28">
        <f>COUNTIF(xehet1!V:V,223)</f>
        <v>0</v>
      </c>
      <c r="I20" s="86">
        <f>SUMIF(xehet1!V:V,223,xehet1!D:D)</f>
        <v>0</v>
      </c>
    </row>
    <row r="21" spans="1:9" ht="12.75" customHeight="1">
      <c r="A21" s="99"/>
      <c r="B21" s="100" t="s">
        <v>24</v>
      </c>
      <c r="C21" s="20" t="s">
        <v>23</v>
      </c>
      <c r="D21" s="67">
        <f>IF(F21+H21=0,0,SUMIF(xehet1!S:S,29,xehet1!T:T)/SUMIF(xehet1!S:S,29,xehet1!D:D))</f>
        <v>0</v>
      </c>
      <c r="E21" s="39">
        <f>IF(H21=0,0,SUMIF(xehet1!V:V,229,xehet1!T:T)/SUMIF(xehet1!V:V,229,xehet1!D:D))</f>
        <v>0</v>
      </c>
      <c r="F21" s="40">
        <f>COUNTIF(xehet1!V:V,129)</f>
        <v>136</v>
      </c>
      <c r="G21" s="27">
        <f>SUMIF(xehet1!V:V,129,xehet1!D:D)</f>
        <v>115609.09000000005</v>
      </c>
      <c r="H21" s="28">
        <f>COUNTIF(xehet1!V:V,229)</f>
        <v>0</v>
      </c>
      <c r="I21" s="86">
        <f>SUMIF(xehet1!V:V,229,xehet1!D:D)</f>
        <v>0</v>
      </c>
    </row>
    <row r="22" spans="1:9" ht="12.75" customHeight="1">
      <c r="A22" s="153" t="s">
        <v>10</v>
      </c>
      <c r="B22" s="154"/>
      <c r="C22" s="154"/>
      <c r="D22" s="65">
        <f aca="true" t="shared" si="0" ref="D22:I22">D23</f>
        <v>0</v>
      </c>
      <c r="E22" s="66">
        <f t="shared" si="0"/>
        <v>0</v>
      </c>
      <c r="F22" s="63">
        <f t="shared" si="0"/>
        <v>1</v>
      </c>
      <c r="G22" s="30">
        <f t="shared" si="0"/>
        <v>4573.8</v>
      </c>
      <c r="H22" s="29">
        <f t="shared" si="0"/>
        <v>0</v>
      </c>
      <c r="I22" s="96">
        <f t="shared" si="0"/>
        <v>0</v>
      </c>
    </row>
    <row r="23" spans="1:9" ht="12.75" customHeight="1">
      <c r="A23" s="99"/>
      <c r="B23" s="101" t="s">
        <v>26</v>
      </c>
      <c r="C23" s="102" t="s">
        <v>27</v>
      </c>
      <c r="D23" s="67">
        <f>IF(F23+H23=0,0,SUMIF(xehet1!S:S,69,xehet1!T:T)/SUMIF(xehet1!S:S,69,xehet1!D:D))</f>
        <v>0</v>
      </c>
      <c r="E23" s="39">
        <f>IF(H23=0,0,SUMIF(xehet1!V:V,269,xehet1!T:T)/SUMIF(xehet1!V:V,269,xehet1!D:D))</f>
        <v>0</v>
      </c>
      <c r="F23" s="40">
        <f>COUNTIF(xehet1!V:V,169)</f>
        <v>1</v>
      </c>
      <c r="G23" s="27">
        <f>SUMIF(xehet1!V:V,169,xehet1!D:D)</f>
        <v>4573.8</v>
      </c>
      <c r="H23" s="28">
        <f>COUNTIF(xehet1!V:V,269)</f>
        <v>0</v>
      </c>
      <c r="I23" s="86">
        <f>SUMIF(xehet1!V:V,269,xehet1!D:D)</f>
        <v>0</v>
      </c>
    </row>
    <row r="24" spans="1:9" ht="12.75" customHeight="1">
      <c r="A24" s="153" t="s">
        <v>66</v>
      </c>
      <c r="B24" s="154"/>
      <c r="C24" s="154"/>
      <c r="D24" s="65">
        <f aca="true" t="shared" si="1" ref="D24:I24">D25</f>
        <v>0</v>
      </c>
      <c r="E24" s="66">
        <f t="shared" si="1"/>
        <v>0</v>
      </c>
      <c r="F24" s="63">
        <f t="shared" si="1"/>
        <v>0</v>
      </c>
      <c r="G24" s="30">
        <f t="shared" si="1"/>
        <v>0</v>
      </c>
      <c r="H24" s="29">
        <f t="shared" si="1"/>
        <v>0</v>
      </c>
      <c r="I24" s="96">
        <f t="shared" si="1"/>
        <v>0</v>
      </c>
    </row>
    <row r="25" spans="1:9" ht="12.75" customHeight="1">
      <c r="A25" s="99"/>
      <c r="B25" s="155" t="s">
        <v>25</v>
      </c>
      <c r="C25" s="155"/>
      <c r="D25" s="107"/>
      <c r="E25" s="108"/>
      <c r="F25" s="109"/>
      <c r="G25" s="110"/>
      <c r="H25" s="111"/>
      <c r="I25" s="112"/>
    </row>
    <row r="26" spans="1:9" ht="12.75" customHeight="1" thickBot="1">
      <c r="A26" s="156" t="s">
        <v>11</v>
      </c>
      <c r="B26" s="157"/>
      <c r="C26" s="157"/>
      <c r="D26" s="76">
        <f>IF(G26+I26=0,0,(D16*(G16+I16)+D22*(G22+I22)+D24*(G24+I24))/(G26+I26))</f>
        <v>0</v>
      </c>
      <c r="E26" s="77">
        <f>IF(I26=0,0,(E16*I16+E22*I22+E24*I24)/I26)</f>
        <v>0</v>
      </c>
      <c r="F26" s="78">
        <f>F16+F22+F24</f>
        <v>201</v>
      </c>
      <c r="G26" s="79">
        <f>G16+G22+G24</f>
        <v>141806.84000000003</v>
      </c>
      <c r="H26" s="80">
        <f>H16+H22+H24</f>
        <v>0</v>
      </c>
      <c r="I26" s="83">
        <f>I16+I22+I24</f>
        <v>0</v>
      </c>
    </row>
    <row r="27" spans="1:9" ht="12.75" customHeight="1">
      <c r="A27" s="2" t="s">
        <v>68</v>
      </c>
      <c r="D27" s="73">
        <f>IF(SUM(xehet1!D:D)=0,0,SUM(xehet1!T:T)/SUM(xehet1!D:D))-IF((G16+I16+G22+I22)=0,0,(D16*(G16+I16)+D22*(G22+I22))/(G16+I16+G22+I22))</f>
        <v>0</v>
      </c>
      <c r="E27" s="73">
        <f>IF(SUMIF(xehet1!V:V,"&gt;199",xehet1!D:D)=0,0,SUMIF(xehet1!V:V,"&gt;199",xehet1!T:T)/SUMIF(xehet1!V:V,"&gt;199",xehet1!D:D))-IF(I16+I22=0,0,(E16*I16+E22*I22)/(I16+I22))</f>
        <v>0</v>
      </c>
      <c r="F27" s="73">
        <f>COUNTIF(xehet1!P:P,"&lt;=30")-F26+F25</f>
        <v>0</v>
      </c>
      <c r="G27" s="73">
        <f>SUMIF(xehet1!P:P,"&lt;=30",xehet1!D:D)-G26+G25</f>
        <v>-2.9103830456733704E-11</v>
      </c>
      <c r="H27" s="73">
        <f>COUNTIF(xehet1!P:P,"&gt;30")-H26+H25</f>
        <v>0</v>
      </c>
      <c r="I27" s="73">
        <f>SUMIF(xehet1!P:P,"&gt;30",xehet1!D:D)-I26+I25</f>
        <v>0</v>
      </c>
    </row>
    <row r="28" spans="4:9" ht="12.75" customHeight="1">
      <c r="D28" s="35"/>
      <c r="E28" s="35"/>
      <c r="F28" s="35"/>
      <c r="G28" s="35"/>
      <c r="H28" s="35"/>
      <c r="I28" s="35"/>
    </row>
    <row r="29" spans="4:9" ht="12.75" customHeight="1">
      <c r="D29" s="35"/>
      <c r="E29" s="35"/>
      <c r="F29" s="35"/>
      <c r="G29" s="35"/>
      <c r="H29" s="35"/>
      <c r="I29" s="35"/>
    </row>
    <row r="30" ht="13.5" thickBot="1">
      <c r="A30" s="1" t="s">
        <v>30</v>
      </c>
    </row>
    <row r="31" spans="1:7" ht="12.75" customHeight="1">
      <c r="A31" s="137" t="s">
        <v>56</v>
      </c>
      <c r="B31" s="138"/>
      <c r="C31" s="158"/>
      <c r="D31" s="160" t="s">
        <v>57</v>
      </c>
      <c r="E31" s="161"/>
      <c r="F31" s="161"/>
      <c r="G31" s="162"/>
    </row>
    <row r="32" spans="1:7" ht="12.75" customHeight="1">
      <c r="A32" s="140"/>
      <c r="B32" s="141"/>
      <c r="C32" s="159"/>
      <c r="D32" s="61" t="s">
        <v>58</v>
      </c>
      <c r="E32" s="23" t="s">
        <v>59</v>
      </c>
      <c r="F32" s="23" t="s">
        <v>13</v>
      </c>
      <c r="G32" s="75" t="s">
        <v>59</v>
      </c>
    </row>
    <row r="33" spans="1:7" ht="12.75" customHeight="1">
      <c r="A33" s="99"/>
      <c r="B33" s="163" t="s">
        <v>39</v>
      </c>
      <c r="C33" s="164"/>
      <c r="D33" s="71">
        <f>COUNTIF(xehet1!P:P,"&lt;=30")+F25</f>
        <v>201</v>
      </c>
      <c r="E33" s="33">
        <f>IF($D$38=0,0,D33*100/$D$38)</f>
        <v>100</v>
      </c>
      <c r="F33" s="33">
        <f>SUMIF(xehet1!P:P,"&lt;=30",xehet1!D:D)+G25</f>
        <v>141806.84</v>
      </c>
      <c r="G33" s="113">
        <f>IF($F$38=0,0,F33*100/$F$38)</f>
        <v>100</v>
      </c>
    </row>
    <row r="34" spans="1:7" ht="12.75" customHeight="1">
      <c r="A34" s="99"/>
      <c r="B34" s="165" t="s">
        <v>60</v>
      </c>
      <c r="C34" s="166"/>
      <c r="D34" s="72">
        <f>COUNTIF(xehet1!P:P,"&lt;=40")-D33+F25+IF(AND(E25&gt;30,E25&lt;=40),H25)</f>
        <v>0</v>
      </c>
      <c r="E34" s="27">
        <f>IF($D$38=0,0,D34*100/$D$38)</f>
        <v>0</v>
      </c>
      <c r="F34" s="27">
        <f>SUMIF(xehet1!P:P,"&lt;=40",xehet1!D:D)-F33+G25+IF(AND(E25&gt;30,E25&lt;=40),I25)</f>
        <v>0</v>
      </c>
      <c r="G34" s="86">
        <f>IF($F$38=0,0,F34*100/$F$38)</f>
        <v>0</v>
      </c>
    </row>
    <row r="35" spans="1:7" ht="12.75" customHeight="1">
      <c r="A35" s="99"/>
      <c r="B35" s="103" t="s">
        <v>61</v>
      </c>
      <c r="C35" s="104"/>
      <c r="D35" s="72">
        <f>COUNTIF(xehet1!P:P,"&lt;=50")-SUM(D33:D34)+F25+IF(E25&lt;=50,H25)</f>
        <v>0</v>
      </c>
      <c r="E35" s="27">
        <f>IF($D$38=0,0,D35*100/$D$38)</f>
        <v>0</v>
      </c>
      <c r="F35" s="27">
        <f>SUMIF(xehet1!P:P,"&lt;=50",xehet1!D:D)-SUM(F33:F34)+G25+IF(E25&lt;=50,I25)</f>
        <v>0</v>
      </c>
      <c r="G35" s="86">
        <f>IF($F$38=0,0,F35*100/$F$38)</f>
        <v>0</v>
      </c>
    </row>
    <row r="36" spans="1:7" ht="12.75" customHeight="1">
      <c r="A36" s="99"/>
      <c r="B36" s="163" t="s">
        <v>62</v>
      </c>
      <c r="C36" s="164"/>
      <c r="D36" s="72">
        <f>COUNTIF(xehet1!P:P,"&lt;=60")-SUM(D33:D35)+F25+IF(E25&lt;=60,H25)</f>
        <v>0</v>
      </c>
      <c r="E36" s="27">
        <f>IF($D$38=0,0,D36*100/$D$38)</f>
        <v>0</v>
      </c>
      <c r="F36" s="27">
        <f>SUMIF(xehet1!P:P,"&lt;=60",xehet1!D:D)-SUM(F33:F35)+G25+IF(E25&lt;=60,I25)</f>
        <v>0</v>
      </c>
      <c r="G36" s="86">
        <f>IF($F$38=0,0,F36*100/$F$38)</f>
        <v>0</v>
      </c>
    </row>
    <row r="37" spans="1:7" ht="12.75" customHeight="1">
      <c r="A37" s="105"/>
      <c r="B37" s="155" t="s">
        <v>63</v>
      </c>
      <c r="C37" s="167"/>
      <c r="D37" s="95">
        <f>COUNTIF(xehet1!P:P,"&gt;60")+IF(E25&gt;60,H25)</f>
        <v>0</v>
      </c>
      <c r="E37" s="27">
        <f>IF($D$38=0,0,D37*100/$D$38)</f>
        <v>0</v>
      </c>
      <c r="F37" s="31">
        <f>SUMIF(xehet1!P:P,"&gt;60",xehet1!D:D)+IF(E25&gt;60,I25)</f>
        <v>0</v>
      </c>
      <c r="G37" s="86">
        <f>IF($F$38=0,0,F37*100/$F$38)</f>
        <v>0</v>
      </c>
    </row>
    <row r="38" spans="1:7" ht="12.75" customHeight="1" thickBot="1">
      <c r="A38" s="168" t="s">
        <v>11</v>
      </c>
      <c r="B38" s="169"/>
      <c r="C38" s="170"/>
      <c r="D38" s="81">
        <f>SUM(D33:D37)</f>
        <v>201</v>
      </c>
      <c r="E38" s="82">
        <f>SUM(E33:E37)</f>
        <v>100</v>
      </c>
      <c r="F38" s="82">
        <f>SUM(F33:F37)</f>
        <v>141806.84</v>
      </c>
      <c r="G38" s="83">
        <f>SUM(G33:G37)</f>
        <v>100</v>
      </c>
    </row>
    <row r="39" spans="1:6" ht="12.75" customHeight="1">
      <c r="A39" s="34"/>
      <c r="B39" s="34"/>
      <c r="C39" s="34"/>
      <c r="D39" s="73"/>
      <c r="E39" s="73"/>
      <c r="F39" s="73"/>
    </row>
    <row r="40" spans="1:6" ht="12.75" customHeight="1">
      <c r="A40" s="34"/>
      <c r="B40" s="34"/>
      <c r="C40" s="34"/>
      <c r="D40" s="73">
        <f>F26+H26-D38</f>
        <v>0</v>
      </c>
      <c r="E40" s="73"/>
      <c r="F40" s="73">
        <f>G26+I26-F38</f>
        <v>0</v>
      </c>
    </row>
    <row r="41" spans="1:6" ht="12.75" customHeight="1">
      <c r="A41" s="34"/>
      <c r="B41" s="34"/>
      <c r="C41" s="34"/>
      <c r="D41" s="20"/>
      <c r="E41" s="20"/>
      <c r="F41" s="35"/>
    </row>
    <row r="42" s="43" customFormat="1" ht="15.75">
      <c r="A42" s="42" t="s">
        <v>37</v>
      </c>
    </row>
    <row r="43" ht="12.75" customHeight="1">
      <c r="A43" s="4"/>
    </row>
    <row r="44" ht="12.75" customHeight="1" thickBot="1">
      <c r="A44" s="4"/>
    </row>
    <row r="45" spans="1:9" ht="12.75" customHeight="1">
      <c r="A45" s="137" t="s">
        <v>32</v>
      </c>
      <c r="B45" s="138"/>
      <c r="C45" s="139"/>
      <c r="D45" s="143" t="s">
        <v>43</v>
      </c>
      <c r="E45" s="144"/>
      <c r="F45" s="145" t="s">
        <v>16</v>
      </c>
      <c r="G45" s="146"/>
      <c r="H45" s="146"/>
      <c r="I45" s="147"/>
    </row>
    <row r="46" spans="1:9" ht="12.75" customHeight="1">
      <c r="A46" s="140"/>
      <c r="B46" s="141"/>
      <c r="C46" s="142"/>
      <c r="D46" s="148" t="s">
        <v>46</v>
      </c>
      <c r="E46" s="149"/>
      <c r="F46" s="150" t="s">
        <v>35</v>
      </c>
      <c r="G46" s="151"/>
      <c r="H46" s="151" t="s">
        <v>36</v>
      </c>
      <c r="I46" s="152"/>
    </row>
    <row r="47" spans="1:9" ht="22.5">
      <c r="A47" s="140"/>
      <c r="B47" s="141"/>
      <c r="C47" s="142"/>
      <c r="D47" s="64" t="s">
        <v>11</v>
      </c>
      <c r="E47" s="24" t="s">
        <v>34</v>
      </c>
      <c r="F47" s="61" t="s">
        <v>15</v>
      </c>
      <c r="G47" s="23" t="s">
        <v>13</v>
      </c>
      <c r="H47" s="23" t="s">
        <v>15</v>
      </c>
      <c r="I47" s="75" t="s">
        <v>13</v>
      </c>
    </row>
    <row r="48" spans="1:9" ht="12.75" customHeight="1">
      <c r="A48" s="171" t="s">
        <v>18</v>
      </c>
      <c r="B48" s="172"/>
      <c r="C48" s="173"/>
      <c r="D48" s="65">
        <f>IF(G48+I48=0,0,(D49*(G49+I49)+D50*(G50+I50)+D51*(G51+I51)+D52*(G52+I52)+D53*(G53+I53))/(G48+I48))</f>
        <v>0</v>
      </c>
      <c r="E48" s="66">
        <f>IF(I48=0,0,(E49*I49+E50*I50+E51*I51+E52*I52+E53*I53)/I48)</f>
        <v>0</v>
      </c>
      <c r="F48" s="62">
        <f>SUM(F49:F53)</f>
        <v>0</v>
      </c>
      <c r="G48" s="25">
        <f>SUM(G49:G53)</f>
        <v>0</v>
      </c>
      <c r="H48" s="26">
        <f>SUM(H49:H53)</f>
        <v>0</v>
      </c>
      <c r="I48" s="96">
        <f>SUM(I49:I53)</f>
        <v>0</v>
      </c>
    </row>
    <row r="49" spans="1:9" ht="12.75" customHeight="1">
      <c r="A49" s="99"/>
      <c r="B49" s="100" t="s">
        <v>0</v>
      </c>
      <c r="C49" s="20" t="s">
        <v>7</v>
      </c>
      <c r="D49" s="67">
        <f>IF(F49+H49=0,0,SUMIF(xehet2!S:S,20,xehet2!T:T)/SUMIF(xehet2!S:S,20,xehet2!D:D))</f>
        <v>0</v>
      </c>
      <c r="E49" s="39">
        <f>IF(H49=0,0,SUMIF(xehet2!V:V,220,xehet2!T:T)/SUMIF(xehet2!V:V,220,xehet2!D:D))</f>
        <v>0</v>
      </c>
      <c r="F49" s="40">
        <f>COUNTIF(xehet2!V:V,120)</f>
        <v>0</v>
      </c>
      <c r="G49" s="27">
        <f>SUMIF(xehet2!V:V,120,xehet2!D:D)</f>
        <v>0</v>
      </c>
      <c r="H49" s="28">
        <f>COUNTIF(xehet2!V:V,220)</f>
        <v>0</v>
      </c>
      <c r="I49" s="86">
        <f>SUMIF(xehet2!V:V,220,xehet2!D:D)</f>
        <v>0</v>
      </c>
    </row>
    <row r="50" spans="1:9" ht="12.75" customHeight="1">
      <c r="A50" s="99"/>
      <c r="B50" s="100" t="s">
        <v>1</v>
      </c>
      <c r="C50" s="20" t="s">
        <v>88</v>
      </c>
      <c r="D50" s="67">
        <f>IF(F50+H50=0,0,SUMIF(xehet2!S:S,21,xehet2!T:T)/SUMIF(xehet2!S:S,21,xehet2!D:D))</f>
        <v>0</v>
      </c>
      <c r="E50" s="39">
        <f>IF(H50=0,0,SUMIF(xehet2!V:V,221,xehet2!T:T)/SUMIF(xehet2!V:V,221,xehet2!D:D))</f>
        <v>0</v>
      </c>
      <c r="F50" s="40">
        <f>COUNTIF(xehet2!V:V,121)</f>
        <v>0</v>
      </c>
      <c r="G50" s="27">
        <f>SUMIF(xehet2!V:V,121,xehet2!D:D)</f>
        <v>0</v>
      </c>
      <c r="H50" s="28">
        <f>COUNTIF(xehet2!V:V,221)</f>
        <v>0</v>
      </c>
      <c r="I50" s="86">
        <f>SUMIF(xehet2!V:V,221,xehet2!D:D)</f>
        <v>0</v>
      </c>
    </row>
    <row r="51" spans="1:9" ht="12.75" customHeight="1">
      <c r="A51" s="99"/>
      <c r="B51" s="100" t="s">
        <v>2</v>
      </c>
      <c r="C51" s="20" t="s">
        <v>89</v>
      </c>
      <c r="D51" s="67">
        <f>IF(F51+H51=0,0,SUMIF(xehet2!S:S,22,xehet2!T:T)/SUMIF(xehet2!S:S,22,xehet2!D:D))</f>
        <v>0</v>
      </c>
      <c r="E51" s="39">
        <f>IF(H51=0,0,SUMIF(xehet2!V:V,222,xehet2!T:T)/SUMIF(xehet2!V:V,222,xehet2!D:D))</f>
        <v>0</v>
      </c>
      <c r="F51" s="40">
        <f>COUNTIF(xehet2!V:V,122)</f>
        <v>0</v>
      </c>
      <c r="G51" s="27">
        <f>SUMIF(xehet2!V:V,122,xehet2!D:D)</f>
        <v>0</v>
      </c>
      <c r="H51" s="28">
        <f>COUNTIF(xehet2!V:V,222)</f>
        <v>0</v>
      </c>
      <c r="I51" s="86">
        <f>SUMIF(xehet2!V:V,222,xehet2!D:D)</f>
        <v>0</v>
      </c>
    </row>
    <row r="52" spans="1:9" ht="12.75" customHeight="1">
      <c r="A52" s="99"/>
      <c r="B52" s="100" t="s">
        <v>3</v>
      </c>
      <c r="C52" s="20" t="s">
        <v>90</v>
      </c>
      <c r="D52" s="67">
        <f>IF(F52+H52=0,0,SUMIF(xehet2!S:S,23,xehet2!T:T)/SUMIF(xehet2!S:S,23,xehet2!D:D))</f>
        <v>0</v>
      </c>
      <c r="E52" s="39">
        <f>IF(H52=0,0,SUMIF(xehet2!V:V,223,xehet2!T:T)/SUMIF(xehet2!V:V,223,xehet2!D:D))</f>
        <v>0</v>
      </c>
      <c r="F52" s="40">
        <f>COUNTIF(xehet2!V:V,123)</f>
        <v>0</v>
      </c>
      <c r="G52" s="27">
        <f>SUMIF(xehet2!V:V,123,xehet2!D:D)</f>
        <v>0</v>
      </c>
      <c r="H52" s="28">
        <f>COUNTIF(xehet2!V:V,223)</f>
        <v>0</v>
      </c>
      <c r="I52" s="86">
        <f>SUMIF(xehet2!V:V,223,xehet2!D:D)</f>
        <v>0</v>
      </c>
    </row>
    <row r="53" spans="1:9" ht="12.75" customHeight="1">
      <c r="A53" s="99"/>
      <c r="B53" s="100" t="s">
        <v>24</v>
      </c>
      <c r="C53" s="20" t="s">
        <v>23</v>
      </c>
      <c r="D53" s="67">
        <f>IF(F53+H53=0,0,SUMIF(xehet2!S:S,29,xehet2!T:T)/SUMIF(xehet2!S:S,29,xehet2!D:D))</f>
        <v>0</v>
      </c>
      <c r="E53" s="39">
        <f>IF(H53=0,0,SUMIF(xehet2!V:V,229,xehet2!T:T)/SUMIF(xehet2!V:V,229,xehet2!D:D))</f>
        <v>0</v>
      </c>
      <c r="F53" s="40">
        <f>COUNTIF(xehet2!V:V,129)</f>
        <v>0</v>
      </c>
      <c r="G53" s="27">
        <f>SUMIF(xehet2!V:V,129,xehet2!D:D)</f>
        <v>0</v>
      </c>
      <c r="H53" s="28">
        <f>COUNTIF(xehet2!V:V,229)</f>
        <v>0</v>
      </c>
      <c r="I53" s="86">
        <f>SUMIF(xehet2!V:V,229,xehet2!D:D)</f>
        <v>0</v>
      </c>
    </row>
    <row r="54" spans="1:9" ht="12.75" customHeight="1">
      <c r="A54" s="153" t="s">
        <v>10</v>
      </c>
      <c r="B54" s="154"/>
      <c r="C54" s="154"/>
      <c r="D54" s="65">
        <f aca="true" t="shared" si="2" ref="D54:I54">D55</f>
        <v>0</v>
      </c>
      <c r="E54" s="66">
        <f t="shared" si="2"/>
        <v>0</v>
      </c>
      <c r="F54" s="63">
        <f t="shared" si="2"/>
        <v>0</v>
      </c>
      <c r="G54" s="30">
        <f t="shared" si="2"/>
        <v>0</v>
      </c>
      <c r="H54" s="29">
        <f t="shared" si="2"/>
        <v>0</v>
      </c>
      <c r="I54" s="96">
        <f t="shared" si="2"/>
        <v>0</v>
      </c>
    </row>
    <row r="55" spans="1:9" ht="12.75" customHeight="1">
      <c r="A55" s="99"/>
      <c r="B55" s="101" t="s">
        <v>26</v>
      </c>
      <c r="C55" s="102" t="s">
        <v>27</v>
      </c>
      <c r="D55" s="67">
        <f>IF(F55+H55=0,0,SUMIF(xehet2!S:S,69,xehet2!T:T)/SUMIF(xehet2!S:S,69,xehet2!D:D))</f>
        <v>0</v>
      </c>
      <c r="E55" s="39">
        <f>IF(H55=0,0,SUMIF(xehet2!V:V,269,xehet2!T:T)/SUMIF(xehet2!V:V,269,xehet2!D:D))</f>
        <v>0</v>
      </c>
      <c r="F55" s="40">
        <f>COUNTIF(xehet2!V:V,169)</f>
        <v>0</v>
      </c>
      <c r="G55" s="27">
        <f>SUMIF(xehet2!V:V,169,xehet2!D:D)</f>
        <v>0</v>
      </c>
      <c r="H55" s="28">
        <f>COUNTIF(xehet2!V:V,269)</f>
        <v>0</v>
      </c>
      <c r="I55" s="86">
        <f>SUMIF(xehet2!V:V,269,xehet2!D:D)</f>
        <v>0</v>
      </c>
    </row>
    <row r="56" spans="1:9" ht="12.75" customHeight="1">
      <c r="A56" s="174" t="s">
        <v>67</v>
      </c>
      <c r="B56" s="175"/>
      <c r="C56" s="176"/>
      <c r="D56" s="65">
        <f aca="true" t="shared" si="3" ref="D56:I56">D57</f>
        <v>0</v>
      </c>
      <c r="E56" s="66">
        <f t="shared" si="3"/>
        <v>0</v>
      </c>
      <c r="F56" s="63">
        <f t="shared" si="3"/>
        <v>0</v>
      </c>
      <c r="G56" s="30">
        <f t="shared" si="3"/>
        <v>0</v>
      </c>
      <c r="H56" s="29">
        <f t="shared" si="3"/>
        <v>0</v>
      </c>
      <c r="I56" s="96">
        <f t="shared" si="3"/>
        <v>0</v>
      </c>
    </row>
    <row r="57" spans="1:9" ht="12.75" customHeight="1">
      <c r="A57" s="99"/>
      <c r="B57" s="177" t="s">
        <v>20</v>
      </c>
      <c r="C57" s="178"/>
      <c r="D57" s="107"/>
      <c r="E57" s="108"/>
      <c r="F57" s="109"/>
      <c r="G57" s="110"/>
      <c r="H57" s="111"/>
      <c r="I57" s="112"/>
    </row>
    <row r="58" spans="1:9" ht="12.75" customHeight="1" thickBot="1">
      <c r="A58" s="179" t="s">
        <v>11</v>
      </c>
      <c r="B58" s="180"/>
      <c r="C58" s="181"/>
      <c r="D58" s="76">
        <f>IF(G58+I58=0,0,(D48*(G48+I48)+D54*(G54+I54)+D56*(G56+I56))/(G58+I58))</f>
        <v>0</v>
      </c>
      <c r="E58" s="77">
        <f>IF(I58=0,0,(E48*I48+E54*I54+E56*I56)/I58)</f>
        <v>0</v>
      </c>
      <c r="F58" s="78">
        <f>F48+F54+F56</f>
        <v>0</v>
      </c>
      <c r="G58" s="79">
        <f>G48+G54+G56</f>
        <v>0</v>
      </c>
      <c r="H58" s="80">
        <f>H48+H54+H56</f>
        <v>0</v>
      </c>
      <c r="I58" s="83">
        <f>I48+I54+I56</f>
        <v>0</v>
      </c>
    </row>
    <row r="59" spans="1:9" ht="12.75" customHeight="1">
      <c r="A59" s="2" t="s">
        <v>68</v>
      </c>
      <c r="D59" s="73">
        <f>IF(SUM(xehet2!D:D)=0,0,SUM(xehet2!T:T)/SUM(xehet2!D:D))-IF((G48+I48+G54+I54)=0,0,(D48*(G48+I48)+D54*(G54+I54))/(G48+I48+G54+I54))</f>
        <v>0</v>
      </c>
      <c r="E59" s="73">
        <f>IF(SUMIF(xehet2!V:V,"&gt;199",xehet2!D:D)=0,0,SUMIF(xehet2!V:V,"&gt;199",xehet2!T:T)/SUMIF(xehet2!V:V,"&gt;199",xehet2!D:D))-IF(I48+I54=0,0,(E48*I48+E54*I54)/(I48+I54))</f>
        <v>0</v>
      </c>
      <c r="F59" s="73">
        <f>COUNTIF(xehet2!P:P,"&lt;=30")-F58+F57</f>
        <v>26</v>
      </c>
      <c r="G59" s="73">
        <f>SUMIF(xehet2!P:P,"&lt;=30",xehet2!D:D)-G58+G57</f>
        <v>18463.969999999998</v>
      </c>
      <c r="H59" s="73">
        <f>COUNTIF(xehet2!P:P,"&gt;30")-H58+H57</f>
        <v>1</v>
      </c>
      <c r="I59" s="73">
        <f>SUMIF(xehet2!P:P,"&gt;30",xehet2!D:D)-I58+I57</f>
        <v>580.8</v>
      </c>
    </row>
    <row r="60" spans="4:9" ht="12.75" customHeight="1">
      <c r="D60" s="35"/>
      <c r="E60" s="35"/>
      <c r="F60" s="35"/>
      <c r="G60" s="35"/>
      <c r="H60" s="35"/>
      <c r="I60" s="35"/>
    </row>
    <row r="63" spans="1:9" s="43" customFormat="1" ht="15.75">
      <c r="A63" s="57" t="s">
        <v>64</v>
      </c>
      <c r="B63" s="58"/>
      <c r="C63" s="58"/>
      <c r="D63" s="58"/>
      <c r="E63" s="58"/>
      <c r="F63" s="58"/>
      <c r="G63" s="58"/>
      <c r="H63" s="58"/>
      <c r="I63" s="58"/>
    </row>
    <row r="64" spans="1:9" ht="12.75" customHeight="1">
      <c r="A64" s="36"/>
      <c r="B64" s="35"/>
      <c r="C64" s="35"/>
      <c r="D64" s="35"/>
      <c r="E64" s="35"/>
      <c r="F64" s="35"/>
      <c r="G64" s="35"/>
      <c r="H64" s="35"/>
      <c r="I64" s="35"/>
    </row>
    <row r="65" spans="1:9" ht="12.75" customHeight="1">
      <c r="A65" s="36"/>
      <c r="B65" s="35"/>
      <c r="C65" s="35"/>
      <c r="D65" s="35"/>
      <c r="E65" s="35"/>
      <c r="F65" s="35"/>
      <c r="G65" s="35"/>
      <c r="H65" s="35"/>
      <c r="I65" s="35"/>
    </row>
    <row r="66" s="19" customFormat="1" ht="13.5" thickBot="1">
      <c r="A66" s="1" t="s">
        <v>38</v>
      </c>
    </row>
    <row r="67" spans="1:7" ht="33.75">
      <c r="A67" s="137" t="s">
        <v>31</v>
      </c>
      <c r="B67" s="138"/>
      <c r="C67" s="158"/>
      <c r="D67" s="84" t="s">
        <v>45</v>
      </c>
      <c r="E67" s="74" t="s">
        <v>17</v>
      </c>
      <c r="F67" s="85" t="s">
        <v>13</v>
      </c>
      <c r="G67" s="37"/>
    </row>
    <row r="68" spans="1:6" ht="12.75" customHeight="1">
      <c r="A68" s="106"/>
      <c r="B68" s="182" t="s">
        <v>18</v>
      </c>
      <c r="C68" s="183"/>
      <c r="D68" s="68">
        <f>IF(E68=0,0,SUMIF(xehet32!T:T,22,xehet32!R:R)/SUMIF(xehet32!T:T,22,xehet32!D:D))</f>
        <v>0</v>
      </c>
      <c r="E68" s="38">
        <f>COUNTIF(xehet32!T:T,22)</f>
        <v>0</v>
      </c>
      <c r="F68" s="86">
        <f>SUMIF(xehet32!T:T,22,xehet32!D:D)</f>
        <v>0</v>
      </c>
    </row>
    <row r="69" spans="1:6" ht="12.75" customHeight="1">
      <c r="A69" s="99"/>
      <c r="B69" s="165" t="s">
        <v>10</v>
      </c>
      <c r="C69" s="166"/>
      <c r="D69" s="68">
        <f>IF(E69=0,0,SUMIF(xehet32!T:T,26,xehet32!R:R)/SUMIF(xehet32!T:T,26,xehet32!D:D))</f>
        <v>0</v>
      </c>
      <c r="E69" s="38">
        <f>COUNTIF(xehet32!T:T,26)</f>
        <v>0</v>
      </c>
      <c r="F69" s="86">
        <f>SUMIF(xehet32!T:T,26,xehet32!D:D)</f>
        <v>0</v>
      </c>
    </row>
    <row r="70" spans="1:6" ht="12.75" customHeight="1">
      <c r="A70" s="105"/>
      <c r="B70" s="155" t="s">
        <v>20</v>
      </c>
      <c r="C70" s="167"/>
      <c r="D70" s="68">
        <f>IF(E70=0,0,SUMIF(xehet32!T:T,29,xehet32!R:R)/SUMIF(xehet32!T:T,29,xehet32!D:D))</f>
        <v>0</v>
      </c>
      <c r="E70" s="38">
        <f>COUNTIF(xehet32!T:T,29)</f>
        <v>0</v>
      </c>
      <c r="F70" s="86">
        <f>SUMIF(xehet32!T:T,29,xehet32!D:D)</f>
        <v>0</v>
      </c>
    </row>
    <row r="71" spans="1:6" ht="12.75" customHeight="1" thickBot="1">
      <c r="A71" s="184" t="s">
        <v>11</v>
      </c>
      <c r="B71" s="185"/>
      <c r="C71" s="186"/>
      <c r="D71" s="87">
        <f>IF(F71=0,0,(D68*F68+D69*F69+D70*F70)/F71)</f>
        <v>0</v>
      </c>
      <c r="E71" s="80">
        <f>SUM(E68:E70)</f>
        <v>0</v>
      </c>
      <c r="F71" s="88">
        <f>SUM(F68:F70)</f>
        <v>0</v>
      </c>
    </row>
    <row r="72" spans="4:6" ht="12.75" customHeight="1">
      <c r="D72" s="73">
        <f>IF(D73=0,0,(SUMIF(xehet32!O:O,"&gt;90",xehet32!R:R)/SUMIF(xehet32!O:O,"&gt;90",xehet32!D:D)))-IF(D71="",0,D71)</f>
        <v>0</v>
      </c>
      <c r="E72" s="73">
        <f>COUNTIF(xehet32!O:O,"&gt;90")-E71</f>
        <v>0</v>
      </c>
      <c r="F72" s="73">
        <f>SUMIF(xehet32!O:O,"&gt;90",xehet32!D:D)-F71</f>
        <v>0</v>
      </c>
    </row>
    <row r="73" spans="4:6" ht="12.75" customHeight="1">
      <c r="D73" s="114">
        <f>SUMIF(xehet32!O:O,"&gt;90",xehet32!D:D)</f>
        <v>0</v>
      </c>
      <c r="E73" s="35"/>
      <c r="F73" s="35"/>
    </row>
    <row r="74" s="19" customFormat="1" ht="13.5" thickBot="1">
      <c r="A74" s="1" t="s">
        <v>47</v>
      </c>
    </row>
    <row r="75" spans="1:7" ht="12.75" customHeight="1">
      <c r="A75" s="137" t="s">
        <v>48</v>
      </c>
      <c r="B75" s="138"/>
      <c r="C75" s="158"/>
      <c r="D75" s="160" t="s">
        <v>65</v>
      </c>
      <c r="E75" s="161"/>
      <c r="F75" s="161"/>
      <c r="G75" s="162"/>
    </row>
    <row r="76" spans="1:7" ht="12.75" customHeight="1">
      <c r="A76" s="140"/>
      <c r="B76" s="141"/>
      <c r="C76" s="159"/>
      <c r="D76" s="61" t="s">
        <v>58</v>
      </c>
      <c r="E76" s="23" t="s">
        <v>59</v>
      </c>
      <c r="F76" s="23" t="s">
        <v>13</v>
      </c>
      <c r="G76" s="75" t="s">
        <v>59</v>
      </c>
    </row>
    <row r="77" spans="1:7" ht="12.75" customHeight="1">
      <c r="A77" s="106"/>
      <c r="B77" s="182" t="s">
        <v>39</v>
      </c>
      <c r="C77" s="183"/>
      <c r="D77" s="40">
        <f>COUNTIF(xehet32!O:O,"&lt;=30")</f>
        <v>39</v>
      </c>
      <c r="E77" s="41">
        <f>IF($D$81=0,0,D77*100/$D$81)</f>
        <v>100</v>
      </c>
      <c r="F77" s="27">
        <f>SUMIF(xehet32!O:O,"&lt;=30",xehet32!D:D)</f>
        <v>56677.43</v>
      </c>
      <c r="G77" s="89">
        <f>IF($F$81=0,0,F77*100/$F$81)</f>
        <v>100</v>
      </c>
    </row>
    <row r="78" spans="1:7" ht="12.75" customHeight="1">
      <c r="A78" s="99"/>
      <c r="B78" s="165" t="s">
        <v>40</v>
      </c>
      <c r="C78" s="166"/>
      <c r="D78" s="40">
        <f>COUNTIF(xehet32!O:O,"&lt;=60")-D77</f>
        <v>0</v>
      </c>
      <c r="E78" s="41">
        <f>IF($D$81=0,0,D78*100/$D$81)</f>
        <v>0</v>
      </c>
      <c r="F78" s="27">
        <f>SUMIF(xehet32!O:O,"&lt;=60",xehet32!D:D)-F77</f>
        <v>0</v>
      </c>
      <c r="G78" s="89">
        <f>IF($F$81=0,0,F78*100/$F$81)</f>
        <v>0</v>
      </c>
    </row>
    <row r="79" spans="1:7" ht="12.75" customHeight="1">
      <c r="A79" s="99"/>
      <c r="B79" s="163" t="s">
        <v>41</v>
      </c>
      <c r="C79" s="164"/>
      <c r="D79" s="40">
        <f>COUNTIF(xehet32!O:O,"&lt;=90")-SUM(D77:D78)</f>
        <v>0</v>
      </c>
      <c r="E79" s="41">
        <f>IF($D$81=0,0,D79*100/$D$81)</f>
        <v>0</v>
      </c>
      <c r="F79" s="27">
        <f>SUMIF(xehet32!O:O,"&lt;=90",xehet32!D:D)-SUM(F77:F78)</f>
        <v>0</v>
      </c>
      <c r="G79" s="89">
        <f>IF($F$81=0,0,F79*100/$F$81)</f>
        <v>0</v>
      </c>
    </row>
    <row r="80" spans="1:7" ht="12.75" customHeight="1">
      <c r="A80" s="99"/>
      <c r="B80" s="163" t="s">
        <v>42</v>
      </c>
      <c r="C80" s="164"/>
      <c r="D80" s="40">
        <f>COUNTIF(xehet32!O:O,"&gt;90")</f>
        <v>0</v>
      </c>
      <c r="E80" s="41">
        <f>IF($D$81=0,0,D80*100/$D$81)</f>
        <v>0</v>
      </c>
      <c r="F80" s="27">
        <f>SUMIF(xehet32!O:O,"&gt;90",xehet32!D:D)</f>
        <v>0</v>
      </c>
      <c r="G80" s="89">
        <f>IF($F$81=0,0,F80*100/$F$81)</f>
        <v>0</v>
      </c>
    </row>
    <row r="81" spans="1:7" ht="12.75" customHeight="1" thickBot="1">
      <c r="A81" s="189" t="s">
        <v>11</v>
      </c>
      <c r="B81" s="190"/>
      <c r="C81" s="191"/>
      <c r="D81" s="78">
        <f>SUM(D77:D80)</f>
        <v>39</v>
      </c>
      <c r="E81" s="90">
        <f>SUM(E77:E80)</f>
        <v>100</v>
      </c>
      <c r="F81" s="79">
        <f>SUM(F77:F80)</f>
        <v>56677.43</v>
      </c>
      <c r="G81" s="91">
        <f>SUM(G77:G80)</f>
        <v>100</v>
      </c>
    </row>
    <row r="82" spans="1:7" ht="12.75" customHeight="1">
      <c r="A82" s="34"/>
      <c r="B82" s="34"/>
      <c r="C82" s="34"/>
      <c r="D82" s="73">
        <f>COUNT(xehet32!D:D)-D81</f>
        <v>0</v>
      </c>
      <c r="E82" s="73"/>
      <c r="F82" s="73">
        <f>SUM(xehet32!D:D)-F81</f>
        <v>0</v>
      </c>
      <c r="G82" s="35"/>
    </row>
    <row r="83" spans="1:7" ht="12.75" customHeight="1">
      <c r="A83" s="34"/>
      <c r="B83" s="34"/>
      <c r="C83" s="34"/>
      <c r="D83" s="73">
        <f>E71-D80</f>
        <v>0</v>
      </c>
      <c r="E83" s="73"/>
      <c r="F83" s="73">
        <f>F71-F80</f>
        <v>0</v>
      </c>
      <c r="G83" s="35"/>
    </row>
    <row r="84" spans="1:7" ht="12.75" customHeight="1">
      <c r="A84" s="34"/>
      <c r="B84" s="34"/>
      <c r="C84" s="34"/>
      <c r="D84" s="20"/>
      <c r="E84" s="20"/>
      <c r="F84" s="35"/>
      <c r="G84" s="35"/>
    </row>
    <row r="85" spans="1:5" s="43" customFormat="1" ht="15.75">
      <c r="A85" s="57" t="s">
        <v>49</v>
      </c>
      <c r="B85" s="59"/>
      <c r="C85" s="59"/>
      <c r="D85" s="60"/>
      <c r="E85" s="60"/>
    </row>
    <row r="86" spans="1:5" ht="12.75" customHeight="1">
      <c r="A86" s="36"/>
      <c r="B86" s="34"/>
      <c r="C86" s="34"/>
      <c r="D86" s="20"/>
      <c r="E86" s="20"/>
    </row>
    <row r="87" ht="12.75" customHeight="1" thickBot="1"/>
    <row r="88" spans="1:8" ht="12.75" customHeight="1">
      <c r="A88" s="192" t="s">
        <v>51</v>
      </c>
      <c r="B88" s="193"/>
      <c r="C88" s="194"/>
      <c r="D88" s="203" t="s">
        <v>53</v>
      </c>
      <c r="E88" s="204"/>
      <c r="F88" s="203" t="s">
        <v>54</v>
      </c>
      <c r="G88" s="204"/>
      <c r="H88" s="198" t="s">
        <v>50</v>
      </c>
    </row>
    <row r="89" spans="1:8" ht="12.75" customHeight="1">
      <c r="A89" s="195"/>
      <c r="B89" s="196"/>
      <c r="C89" s="197"/>
      <c r="D89" s="69" t="s">
        <v>52</v>
      </c>
      <c r="E89" s="70" t="s">
        <v>44</v>
      </c>
      <c r="F89" s="69" t="s">
        <v>52</v>
      </c>
      <c r="G89" s="70" t="s">
        <v>44</v>
      </c>
      <c r="H89" s="199"/>
    </row>
    <row r="90" spans="1:8" ht="12.75" customHeight="1" thickBot="1">
      <c r="A90" s="200" t="str">
        <f>D3</f>
        <v>OARSOALDEA</v>
      </c>
      <c r="B90" s="201"/>
      <c r="C90" s="202"/>
      <c r="D90" s="92">
        <f>IF((SUM(xehet1!D:D)+G24+I24)=0,0,(SUM(xehet1!T:T)+D24*(G24+I24))/(SUM(xehet1!D:D)+G24+I24))</f>
        <v>0</v>
      </c>
      <c r="E90" s="93">
        <f>SUM(xehet1!D:D)+G24+I24</f>
        <v>141806.84</v>
      </c>
      <c r="F90" s="92">
        <f>IF((SUM(xehet2!D:D)+G56+I56)=0,0,(SUM(xehet2!T:T)+D56*(G56+I56))/(SUM(xehet2!D:D)+G56+I56))</f>
        <v>0</v>
      </c>
      <c r="G90" s="93">
        <f>SUM(xehet2!D:D)+G56+I56</f>
        <v>19044.769999999997</v>
      </c>
      <c r="H90" s="94">
        <f>IF(E90=0,F90,IF(G90=0,D90,(D90*E90+F90*G90)/(E90+G90)))</f>
        <v>0</v>
      </c>
    </row>
    <row r="91" spans="4:8" ht="12.75" customHeight="1">
      <c r="D91" s="32"/>
      <c r="E91" s="116">
        <f>E90-F38</f>
        <v>0</v>
      </c>
      <c r="F91" s="116"/>
      <c r="G91" s="116">
        <f>G90-G58-I58-F81</f>
        <v>-37632.66</v>
      </c>
      <c r="H91" s="116">
        <f>IF(H92=0,0,(SUM(xehet1!U:U)+SUM(xehet2!U:U)+SUM(xehet32!S:S)+D24*(G24+I24)+D56*(G56+I56))/(SUM(xehet1!D:D)+SUM(xehet2!D:D)+SUM(xehet32!D:D)+G24+I24+G56+I56))-IF(H90="",0,H90)</f>
        <v>-13.880716570072671</v>
      </c>
    </row>
    <row r="92" spans="1:8" ht="12.75" customHeight="1" thickBot="1">
      <c r="A92" s="4" t="s">
        <v>55</v>
      </c>
      <c r="E92" s="35"/>
      <c r="F92" s="35"/>
      <c r="G92" s="35"/>
      <c r="H92" s="115">
        <f>(SUM(xehet1!D:D)+SUM(xehet2!D:D)+SUM(xehet32!D:D)+G24+I24+G56+I56)</f>
        <v>217529.03999999998</v>
      </c>
    </row>
    <row r="93" spans="2:8" ht="43.5" customHeight="1" thickBot="1">
      <c r="B93" s="187"/>
      <c r="C93" s="188"/>
      <c r="E93" s="35"/>
      <c r="F93" s="35"/>
      <c r="G93" s="35"/>
      <c r="H93" s="35"/>
    </row>
  </sheetData>
  <sheetProtection/>
  <mergeCells count="50">
    <mergeCell ref="D75:G75"/>
    <mergeCell ref="B93:C93"/>
    <mergeCell ref="A81:C81"/>
    <mergeCell ref="A88:C89"/>
    <mergeCell ref="H88:H89"/>
    <mergeCell ref="A90:C90"/>
    <mergeCell ref="D88:E88"/>
    <mergeCell ref="F88:G88"/>
    <mergeCell ref="B77:C77"/>
    <mergeCell ref="B78:C78"/>
    <mergeCell ref="B79:C79"/>
    <mergeCell ref="B80:C80"/>
    <mergeCell ref="A58:C58"/>
    <mergeCell ref="A67:C67"/>
    <mergeCell ref="B68:C68"/>
    <mergeCell ref="B69:C69"/>
    <mergeCell ref="B70:C70"/>
    <mergeCell ref="A71:C71"/>
    <mergeCell ref="A75:C76"/>
    <mergeCell ref="A45:C47"/>
    <mergeCell ref="D45:E45"/>
    <mergeCell ref="A48:C48"/>
    <mergeCell ref="A54:C54"/>
    <mergeCell ref="A56:C56"/>
    <mergeCell ref="B57:C57"/>
    <mergeCell ref="F45:I45"/>
    <mergeCell ref="D46:E46"/>
    <mergeCell ref="F46:G46"/>
    <mergeCell ref="H46:I46"/>
    <mergeCell ref="D31:G31"/>
    <mergeCell ref="B33:C33"/>
    <mergeCell ref="B34:C34"/>
    <mergeCell ref="B36:C36"/>
    <mergeCell ref="B37:C37"/>
    <mergeCell ref="A38:C38"/>
    <mergeCell ref="A16:C16"/>
    <mergeCell ref="A22:C22"/>
    <mergeCell ref="A24:C24"/>
    <mergeCell ref="B25:C25"/>
    <mergeCell ref="A26:C26"/>
    <mergeCell ref="A31:C32"/>
    <mergeCell ref="A1:B1"/>
    <mergeCell ref="A2:I2"/>
    <mergeCell ref="D3:G3"/>
    <mergeCell ref="A13:C15"/>
    <mergeCell ref="D13:E13"/>
    <mergeCell ref="F13:I13"/>
    <mergeCell ref="D14:E14"/>
    <mergeCell ref="F14:G14"/>
    <mergeCell ref="H14:I14"/>
  </mergeCells>
  <conditionalFormatting sqref="H90">
    <cfRule type="expression" priority="1" dxfId="0" stopIfTrue="1">
      <formula>$E$90+$G$90=0</formula>
    </cfRule>
  </conditionalFormatting>
  <conditionalFormatting sqref="G77:G80">
    <cfRule type="expression" priority="2" dxfId="0" stopIfTrue="1">
      <formula>F$81=0</formula>
    </cfRule>
  </conditionalFormatting>
  <conditionalFormatting sqref="D17:D21 D23 D49:D53 D55 D68:D70">
    <cfRule type="expression" priority="3" dxfId="0" stopIfTrue="1">
      <formula>F17+H17=0</formula>
    </cfRule>
  </conditionalFormatting>
  <conditionalFormatting sqref="E17:E21 E23 E49:E53 E55">
    <cfRule type="expression" priority="4" dxfId="0" stopIfTrue="1">
      <formula>H17=0</formula>
    </cfRule>
  </conditionalFormatting>
  <conditionalFormatting sqref="D56 D22 D24 D48 D54">
    <cfRule type="expression" priority="5" dxfId="3" stopIfTrue="1">
      <formula>F22+H22=0</formula>
    </cfRule>
  </conditionalFormatting>
  <conditionalFormatting sqref="E16 E22 E24 E48 E54 E56">
    <cfRule type="expression" priority="6" dxfId="3" stopIfTrue="1">
      <formula>H16=0</formula>
    </cfRule>
  </conditionalFormatting>
  <conditionalFormatting sqref="E77:E80">
    <cfRule type="expression" priority="7" dxfId="0" stopIfTrue="1">
      <formula>$D$81=0</formula>
    </cfRule>
  </conditionalFormatting>
  <conditionalFormatting sqref="E38">
    <cfRule type="expression" priority="8" dxfId="3" stopIfTrue="1">
      <formula>$D$38=0</formula>
    </cfRule>
  </conditionalFormatting>
  <conditionalFormatting sqref="G38">
    <cfRule type="expression" priority="9" dxfId="3" stopIfTrue="1">
      <formula>$F$38=0</formula>
    </cfRule>
  </conditionalFormatting>
  <conditionalFormatting sqref="A1:B1 E91:H91 D39:F40 D59:I59 D72:F72 D82:F83 H27:I27 E27:F27 D90 F90">
    <cfRule type="cellIs" priority="10" dxfId="0" operator="equal" stopIfTrue="1">
      <formula>0</formula>
    </cfRule>
  </conditionalFormatting>
  <conditionalFormatting sqref="D16">
    <cfRule type="expression" priority="11" dxfId="3" stopIfTrue="1">
      <formula>F16+H16=0</formula>
    </cfRule>
  </conditionalFormatting>
  <conditionalFormatting sqref="D26:E26 D58:E58">
    <cfRule type="cellIs" priority="12" dxfId="3" operator="equal" stopIfTrue="1">
      <formula>0</formula>
    </cfRule>
  </conditionalFormatting>
  <conditionalFormatting sqref="D27">
    <cfRule type="cellIs" priority="13" dxfId="0" operator="equal" stopIfTrue="1">
      <formula>0</formula>
    </cfRule>
    <cfRule type="expression" priority="14" dxfId="0" stopIfTrue="1">
      <formula>"SUMA(xehet1!D:D)=0"</formula>
    </cfRule>
  </conditionalFormatting>
  <conditionalFormatting sqref="G27">
    <cfRule type="cellIs" priority="15" dxfId="0" operator="between" stopIfTrue="1">
      <formula>-0.00001</formula>
      <formula>0.00001</formula>
    </cfRule>
  </conditionalFormatting>
  <printOptions horizontalCentered="1"/>
  <pageMargins left="0.6299212598425197" right="0.6692913385826772" top="0.5905511811023623" bottom="0.5905511811023623" header="0.31496062992125984" footer="0.11811023622047245"/>
  <pageSetup horizontalDpi="600" verticalDpi="600" orientation="portrait" paperSize="9" scale="60" r:id="rId1"/>
  <ignoredErrors>
    <ignoredError sqref="E38 G38" evalError="1"/>
    <ignoredError sqref="F23:I23 D55:E55 F55:I5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Orria2">
    <tabColor indexed="47"/>
  </sheetPr>
  <dimension ref="A2:V206"/>
  <sheetViews>
    <sheetView zoomScale="85" zoomScaleNormal="85" zoomScalePageLayoutView="0" workbookViewId="0" topLeftCell="A167">
      <selection activeCell="A6" sqref="A6:IV207"/>
    </sheetView>
  </sheetViews>
  <sheetFormatPr defaultColWidth="9.140625" defaultRowHeight="12.75"/>
  <cols>
    <col min="1" max="1" width="13.7109375" style="2" customWidth="1"/>
    <col min="2" max="2" width="10.7109375" style="15" bestFit="1" customWidth="1"/>
    <col min="3" max="3" width="19.28125" style="2" bestFit="1" customWidth="1"/>
    <col min="4" max="4" width="11.140625" style="8" bestFit="1" customWidth="1"/>
    <col min="5" max="5" width="10.7109375" style="2" bestFit="1" customWidth="1"/>
    <col min="6" max="6" width="11.28125" style="2" customWidth="1"/>
    <col min="7" max="7" width="8.8515625" style="2" customWidth="1"/>
    <col min="8" max="8" width="7.421875" style="2" customWidth="1"/>
    <col min="9" max="9" width="7.00390625" style="2" customWidth="1"/>
    <col min="10" max="10" width="17.00390625" style="2" bestFit="1" customWidth="1"/>
    <col min="11" max="11" width="10.8515625" style="15" bestFit="1" customWidth="1"/>
    <col min="12" max="12" width="9.00390625" style="15" bestFit="1" customWidth="1"/>
    <col min="13" max="13" width="13.57421875" style="15" bestFit="1" customWidth="1"/>
    <col min="14" max="14" width="20.421875" style="15" customWidth="1"/>
    <col min="15" max="15" width="7.140625" style="10" bestFit="1" customWidth="1"/>
    <col min="16" max="16" width="7.140625" style="10" customWidth="1"/>
    <col min="17" max="17" width="7.140625" style="10" bestFit="1" customWidth="1"/>
    <col min="18" max="18" width="7.57421875" style="10" customWidth="1"/>
    <col min="19" max="19" width="3.8515625" style="2" bestFit="1" customWidth="1"/>
    <col min="20" max="20" width="13.00390625" style="8" bestFit="1" customWidth="1"/>
    <col min="21" max="21" width="14.57421875" style="8" bestFit="1" customWidth="1"/>
    <col min="22" max="22" width="9.140625" style="117" customWidth="1"/>
    <col min="23" max="16384" width="9.140625" style="2" customWidth="1"/>
  </cols>
  <sheetData>
    <row r="2" spans="13:14" ht="11.25">
      <c r="M2" s="205" t="s">
        <v>97</v>
      </c>
      <c r="N2" s="206"/>
    </row>
    <row r="3" spans="1:13" ht="11.25">
      <c r="A3" s="3" t="s">
        <v>69</v>
      </c>
      <c r="B3" s="17"/>
      <c r="C3" s="4"/>
      <c r="D3" s="7"/>
      <c r="E3" s="4"/>
      <c r="F3" s="4"/>
      <c r="G3" s="4"/>
      <c r="H3" s="4"/>
      <c r="I3" s="4"/>
      <c r="J3" s="4"/>
      <c r="M3" s="119" t="s">
        <v>98</v>
      </c>
    </row>
    <row r="4" spans="13:14" ht="11.25">
      <c r="M4" s="119" t="s">
        <v>99</v>
      </c>
      <c r="N4" s="119" t="s">
        <v>100</v>
      </c>
    </row>
    <row r="5" spans="1:22" ht="22.5">
      <c r="A5" s="5" t="s">
        <v>75</v>
      </c>
      <c r="B5" s="18" t="s">
        <v>70</v>
      </c>
      <c r="C5" s="6" t="s">
        <v>85</v>
      </c>
      <c r="D5" s="9" t="s">
        <v>44</v>
      </c>
      <c r="E5" s="5" t="s">
        <v>84</v>
      </c>
      <c r="F5" s="6" t="s">
        <v>71</v>
      </c>
      <c r="G5" s="6" t="s">
        <v>72</v>
      </c>
      <c r="H5" s="6" t="s">
        <v>82</v>
      </c>
      <c r="I5" s="6" t="s">
        <v>83</v>
      </c>
      <c r="J5" s="6" t="s">
        <v>73</v>
      </c>
      <c r="K5" s="16" t="s">
        <v>74</v>
      </c>
      <c r="L5" s="16" t="s">
        <v>76</v>
      </c>
      <c r="M5" s="16" t="s">
        <v>91</v>
      </c>
      <c r="N5" s="16" t="s">
        <v>92</v>
      </c>
      <c r="O5" s="11" t="s">
        <v>77</v>
      </c>
      <c r="P5" s="12" t="s">
        <v>78</v>
      </c>
      <c r="Q5" s="13" t="s">
        <v>79</v>
      </c>
      <c r="R5" s="14" t="s">
        <v>50</v>
      </c>
      <c r="S5" s="2" t="s">
        <v>93</v>
      </c>
      <c r="T5" s="8" t="s">
        <v>94</v>
      </c>
      <c r="U5" s="8" t="s">
        <v>95</v>
      </c>
      <c r="V5" s="117" t="s">
        <v>96</v>
      </c>
    </row>
    <row r="6" spans="1:22" ht="15">
      <c r="A6" s="125" t="s">
        <v>377</v>
      </c>
      <c r="B6" s="126">
        <v>43633</v>
      </c>
      <c r="C6" s="127" t="s">
        <v>378</v>
      </c>
      <c r="D6" s="128">
        <v>5250</v>
      </c>
      <c r="F6" s="121"/>
      <c r="K6" s="129">
        <v>43637</v>
      </c>
      <c r="M6" s="124">
        <f aca="true" t="shared" si="0" ref="M6:M69">+N6</f>
        <v>43642</v>
      </c>
      <c r="N6" s="130">
        <v>43642</v>
      </c>
      <c r="O6" s="97">
        <f aca="true" t="shared" si="1" ref="O6:O69">+K6-M6</f>
        <v>-5</v>
      </c>
      <c r="P6" s="97">
        <f aca="true" t="shared" si="2" ref="P6:P69">+N6-M6</f>
        <v>0</v>
      </c>
      <c r="Q6" s="97">
        <f aca="true" t="shared" si="3" ref="Q6:Q69">+N6-K6</f>
        <v>5</v>
      </c>
      <c r="R6" s="97">
        <f aca="true" t="shared" si="4" ref="R6:R69">+Q6-30</f>
        <v>-25</v>
      </c>
      <c r="S6" s="2">
        <v>29</v>
      </c>
      <c r="T6" s="131">
        <f aca="true" t="shared" si="5" ref="T6:T69">+P6*D6</f>
        <v>0</v>
      </c>
      <c r="U6" s="131">
        <f aca="true" t="shared" si="6" ref="U6:U69">+R6*D6</f>
        <v>-131250</v>
      </c>
      <c r="V6" s="118">
        <f aca="true" t="shared" si="7" ref="V6:V69">IF(P6&gt;30,200+S6,100+S6)</f>
        <v>129</v>
      </c>
    </row>
    <row r="7" spans="1:22" ht="15">
      <c r="A7" s="125" t="s">
        <v>375</v>
      </c>
      <c r="B7" s="126">
        <v>43637</v>
      </c>
      <c r="C7" s="127" t="s">
        <v>380</v>
      </c>
      <c r="D7" s="128">
        <v>101</v>
      </c>
      <c r="F7" s="121"/>
      <c r="K7" s="129">
        <v>43637</v>
      </c>
      <c r="M7" s="124">
        <f t="shared" si="0"/>
        <v>43617</v>
      </c>
      <c r="N7" s="130">
        <v>43617</v>
      </c>
      <c r="O7" s="97">
        <f t="shared" si="1"/>
        <v>20</v>
      </c>
      <c r="P7" s="97">
        <f t="shared" si="2"/>
        <v>0</v>
      </c>
      <c r="Q7" s="97">
        <f t="shared" si="3"/>
        <v>-20</v>
      </c>
      <c r="R7" s="97">
        <f t="shared" si="4"/>
        <v>-50</v>
      </c>
      <c r="S7" s="2">
        <v>29</v>
      </c>
      <c r="T7" s="131">
        <f t="shared" si="5"/>
        <v>0</v>
      </c>
      <c r="U7" s="131">
        <f t="shared" si="6"/>
        <v>-5050</v>
      </c>
      <c r="V7" s="118">
        <f t="shared" si="7"/>
        <v>129</v>
      </c>
    </row>
    <row r="8" spans="1:22" ht="15">
      <c r="A8" s="125" t="s">
        <v>374</v>
      </c>
      <c r="B8" s="126">
        <v>43626</v>
      </c>
      <c r="C8" s="127" t="s">
        <v>381</v>
      </c>
      <c r="D8" s="128">
        <v>393.26</v>
      </c>
      <c r="F8" s="121"/>
      <c r="K8" s="129">
        <v>43627</v>
      </c>
      <c r="M8" s="124">
        <f t="shared" si="0"/>
        <v>43633</v>
      </c>
      <c r="N8" s="130">
        <v>43633</v>
      </c>
      <c r="O8" s="97">
        <f t="shared" si="1"/>
        <v>-6</v>
      </c>
      <c r="P8" s="97">
        <f t="shared" si="2"/>
        <v>0</v>
      </c>
      <c r="Q8" s="97">
        <f t="shared" si="3"/>
        <v>6</v>
      </c>
      <c r="R8" s="97">
        <f t="shared" si="4"/>
        <v>-24</v>
      </c>
      <c r="S8" s="2">
        <v>29</v>
      </c>
      <c r="T8" s="131">
        <f t="shared" si="5"/>
        <v>0</v>
      </c>
      <c r="U8" s="131">
        <f t="shared" si="6"/>
        <v>-9438.24</v>
      </c>
      <c r="V8" s="118">
        <f t="shared" si="7"/>
        <v>129</v>
      </c>
    </row>
    <row r="9" spans="1:22" ht="15">
      <c r="A9" s="125" t="s">
        <v>373</v>
      </c>
      <c r="B9" s="126">
        <v>43565</v>
      </c>
      <c r="C9" s="127" t="s">
        <v>382</v>
      </c>
      <c r="D9" s="128">
        <v>2430</v>
      </c>
      <c r="F9" s="121"/>
      <c r="K9" s="129">
        <v>43565</v>
      </c>
      <c r="M9" s="124">
        <f t="shared" si="0"/>
        <v>43565</v>
      </c>
      <c r="N9" s="130">
        <v>43565</v>
      </c>
      <c r="O9" s="97">
        <f t="shared" si="1"/>
        <v>0</v>
      </c>
      <c r="P9" s="97">
        <f t="shared" si="2"/>
        <v>0</v>
      </c>
      <c r="Q9" s="97">
        <f t="shared" si="3"/>
        <v>0</v>
      </c>
      <c r="R9" s="97">
        <f t="shared" si="4"/>
        <v>-30</v>
      </c>
      <c r="S9" s="2">
        <v>29</v>
      </c>
      <c r="T9" s="131">
        <f t="shared" si="5"/>
        <v>0</v>
      </c>
      <c r="U9" s="131">
        <f t="shared" si="6"/>
        <v>-72900</v>
      </c>
      <c r="V9" s="118">
        <f t="shared" si="7"/>
        <v>129</v>
      </c>
    </row>
    <row r="10" spans="1:22" ht="15">
      <c r="A10" s="125" t="s">
        <v>372</v>
      </c>
      <c r="B10" s="126">
        <v>43585</v>
      </c>
      <c r="C10" s="127" t="s">
        <v>383</v>
      </c>
      <c r="D10" s="128">
        <v>2880</v>
      </c>
      <c r="F10" s="121"/>
      <c r="K10" s="129">
        <v>43585</v>
      </c>
      <c r="M10" s="124">
        <f t="shared" si="0"/>
        <v>43585</v>
      </c>
      <c r="N10" s="130">
        <v>43585</v>
      </c>
      <c r="O10" s="97">
        <f t="shared" si="1"/>
        <v>0</v>
      </c>
      <c r="P10" s="97">
        <f t="shared" si="2"/>
        <v>0</v>
      </c>
      <c r="Q10" s="97">
        <f t="shared" si="3"/>
        <v>0</v>
      </c>
      <c r="R10" s="97">
        <f t="shared" si="4"/>
        <v>-30</v>
      </c>
      <c r="S10" s="2">
        <v>29</v>
      </c>
      <c r="T10" s="131">
        <f t="shared" si="5"/>
        <v>0</v>
      </c>
      <c r="U10" s="131">
        <f t="shared" si="6"/>
        <v>-86400</v>
      </c>
      <c r="V10" s="118">
        <f t="shared" si="7"/>
        <v>129</v>
      </c>
    </row>
    <row r="11" spans="1:22" ht="15">
      <c r="A11" s="125" t="s">
        <v>371</v>
      </c>
      <c r="B11" s="126">
        <v>43616</v>
      </c>
      <c r="C11" s="127" t="s">
        <v>384</v>
      </c>
      <c r="D11" s="128">
        <v>2880</v>
      </c>
      <c r="F11" s="121"/>
      <c r="K11" s="129">
        <v>43616</v>
      </c>
      <c r="M11" s="124">
        <f t="shared" si="0"/>
        <v>43616</v>
      </c>
      <c r="N11" s="130">
        <v>43616</v>
      </c>
      <c r="O11" s="97">
        <f t="shared" si="1"/>
        <v>0</v>
      </c>
      <c r="P11" s="97">
        <f t="shared" si="2"/>
        <v>0</v>
      </c>
      <c r="Q11" s="97">
        <f t="shared" si="3"/>
        <v>0</v>
      </c>
      <c r="R11" s="97">
        <f t="shared" si="4"/>
        <v>-30</v>
      </c>
      <c r="S11" s="2">
        <v>29</v>
      </c>
      <c r="T11" s="131">
        <f t="shared" si="5"/>
        <v>0</v>
      </c>
      <c r="U11" s="131">
        <f t="shared" si="6"/>
        <v>-86400</v>
      </c>
      <c r="V11" s="118">
        <f t="shared" si="7"/>
        <v>129</v>
      </c>
    </row>
    <row r="12" spans="1:22" ht="15">
      <c r="A12" s="125" t="s">
        <v>370</v>
      </c>
      <c r="B12" s="126">
        <v>43644</v>
      </c>
      <c r="C12" s="127" t="s">
        <v>385</v>
      </c>
      <c r="D12" s="128">
        <v>2880</v>
      </c>
      <c r="F12" s="121"/>
      <c r="K12" s="129">
        <v>43614</v>
      </c>
      <c r="M12" s="124">
        <f t="shared" si="0"/>
        <v>43644</v>
      </c>
      <c r="N12" s="130">
        <v>43644</v>
      </c>
      <c r="O12" s="97">
        <f t="shared" si="1"/>
        <v>-30</v>
      </c>
      <c r="P12" s="97">
        <f t="shared" si="2"/>
        <v>0</v>
      </c>
      <c r="Q12" s="97">
        <f t="shared" si="3"/>
        <v>30</v>
      </c>
      <c r="R12" s="97">
        <f t="shared" si="4"/>
        <v>0</v>
      </c>
      <c r="S12" s="2">
        <v>29</v>
      </c>
      <c r="T12" s="131">
        <f t="shared" si="5"/>
        <v>0</v>
      </c>
      <c r="U12" s="131">
        <f t="shared" si="6"/>
        <v>0</v>
      </c>
      <c r="V12" s="118">
        <f t="shared" si="7"/>
        <v>129</v>
      </c>
    </row>
    <row r="13" spans="1:22" ht="15">
      <c r="A13" s="125" t="s">
        <v>369</v>
      </c>
      <c r="B13" s="126">
        <v>43571</v>
      </c>
      <c r="C13" s="127" t="s">
        <v>386</v>
      </c>
      <c r="D13" s="128">
        <v>629.2</v>
      </c>
      <c r="F13" s="121"/>
      <c r="K13" s="129">
        <v>43609</v>
      </c>
      <c r="M13" s="124">
        <f t="shared" si="0"/>
        <v>43614</v>
      </c>
      <c r="N13" s="130">
        <v>43614</v>
      </c>
      <c r="O13" s="97">
        <f t="shared" si="1"/>
        <v>-5</v>
      </c>
      <c r="P13" s="97">
        <f t="shared" si="2"/>
        <v>0</v>
      </c>
      <c r="Q13" s="97">
        <f t="shared" si="3"/>
        <v>5</v>
      </c>
      <c r="R13" s="97">
        <f t="shared" si="4"/>
        <v>-25</v>
      </c>
      <c r="S13" s="2">
        <v>29</v>
      </c>
      <c r="T13" s="131">
        <f t="shared" si="5"/>
        <v>0</v>
      </c>
      <c r="U13" s="131">
        <f t="shared" si="6"/>
        <v>-15730.000000000002</v>
      </c>
      <c r="V13" s="118">
        <f t="shared" si="7"/>
        <v>129</v>
      </c>
    </row>
    <row r="14" spans="1:22" ht="15">
      <c r="A14" s="125" t="s">
        <v>368</v>
      </c>
      <c r="B14" s="126">
        <v>43606</v>
      </c>
      <c r="C14" s="127" t="s">
        <v>387</v>
      </c>
      <c r="D14" s="128">
        <v>4714.48</v>
      </c>
      <c r="F14" s="121"/>
      <c r="K14" s="129">
        <v>43619</v>
      </c>
      <c r="M14" s="124">
        <f t="shared" si="0"/>
        <v>43640</v>
      </c>
      <c r="N14" s="130">
        <v>43640</v>
      </c>
      <c r="O14" s="97">
        <f t="shared" si="1"/>
        <v>-21</v>
      </c>
      <c r="P14" s="97">
        <f t="shared" si="2"/>
        <v>0</v>
      </c>
      <c r="Q14" s="97">
        <f t="shared" si="3"/>
        <v>21</v>
      </c>
      <c r="R14" s="97">
        <f t="shared" si="4"/>
        <v>-9</v>
      </c>
      <c r="S14" s="2">
        <v>29</v>
      </c>
      <c r="T14" s="131">
        <f t="shared" si="5"/>
        <v>0</v>
      </c>
      <c r="U14" s="131">
        <f t="shared" si="6"/>
        <v>-42430.31999999999</v>
      </c>
      <c r="V14" s="118">
        <f t="shared" si="7"/>
        <v>129</v>
      </c>
    </row>
    <row r="15" spans="1:22" ht="15">
      <c r="A15" s="125" t="s">
        <v>367</v>
      </c>
      <c r="B15" s="126">
        <v>43610</v>
      </c>
      <c r="C15" s="127" t="s">
        <v>110</v>
      </c>
      <c r="D15" s="128">
        <v>400</v>
      </c>
      <c r="F15" s="121"/>
      <c r="K15" s="129">
        <v>43613</v>
      </c>
      <c r="M15" s="124">
        <f t="shared" si="0"/>
        <v>43614</v>
      </c>
      <c r="N15" s="130">
        <v>43614</v>
      </c>
      <c r="O15" s="97">
        <f t="shared" si="1"/>
        <v>-1</v>
      </c>
      <c r="P15" s="97">
        <f t="shared" si="2"/>
        <v>0</v>
      </c>
      <c r="Q15" s="97">
        <f t="shared" si="3"/>
        <v>1</v>
      </c>
      <c r="R15" s="97">
        <f t="shared" si="4"/>
        <v>-29</v>
      </c>
      <c r="S15" s="2">
        <v>29</v>
      </c>
      <c r="T15" s="131">
        <f t="shared" si="5"/>
        <v>0</v>
      </c>
      <c r="U15" s="131">
        <f t="shared" si="6"/>
        <v>-11600</v>
      </c>
      <c r="V15" s="118">
        <f t="shared" si="7"/>
        <v>129</v>
      </c>
    </row>
    <row r="16" spans="1:22" ht="15">
      <c r="A16" s="125" t="s">
        <v>366</v>
      </c>
      <c r="B16" s="126">
        <v>43621</v>
      </c>
      <c r="C16" s="127" t="s">
        <v>388</v>
      </c>
      <c r="D16" s="128">
        <v>139.22</v>
      </c>
      <c r="F16" s="121"/>
      <c r="K16" s="129">
        <v>43626</v>
      </c>
      <c r="M16" s="124">
        <f t="shared" si="0"/>
        <v>43633</v>
      </c>
      <c r="N16" s="130">
        <v>43633</v>
      </c>
      <c r="O16" s="97">
        <f t="shared" si="1"/>
        <v>-7</v>
      </c>
      <c r="P16" s="97">
        <f t="shared" si="2"/>
        <v>0</v>
      </c>
      <c r="Q16" s="97">
        <f t="shared" si="3"/>
        <v>7</v>
      </c>
      <c r="R16" s="97">
        <f t="shared" si="4"/>
        <v>-23</v>
      </c>
      <c r="S16" s="2">
        <v>21</v>
      </c>
      <c r="T16" s="131">
        <f t="shared" si="5"/>
        <v>0</v>
      </c>
      <c r="U16" s="131">
        <f t="shared" si="6"/>
        <v>-3202.06</v>
      </c>
      <c r="V16" s="118">
        <f t="shared" si="7"/>
        <v>121</v>
      </c>
    </row>
    <row r="17" spans="1:22" ht="15">
      <c r="A17" s="125" t="s">
        <v>364</v>
      </c>
      <c r="B17" s="126">
        <v>43601</v>
      </c>
      <c r="C17" s="127" t="s">
        <v>390</v>
      </c>
      <c r="D17" s="128">
        <v>3781.19</v>
      </c>
      <c r="F17" s="121"/>
      <c r="K17" s="129">
        <v>43614</v>
      </c>
      <c r="M17" s="124">
        <f t="shared" si="0"/>
        <v>43614</v>
      </c>
      <c r="N17" s="130">
        <v>43614</v>
      </c>
      <c r="O17" s="97">
        <f t="shared" si="1"/>
        <v>0</v>
      </c>
      <c r="P17" s="97">
        <f t="shared" si="2"/>
        <v>0</v>
      </c>
      <c r="Q17" s="97">
        <f t="shared" si="3"/>
        <v>0</v>
      </c>
      <c r="R17" s="97">
        <f t="shared" si="4"/>
        <v>-30</v>
      </c>
      <c r="S17" s="2">
        <v>29</v>
      </c>
      <c r="T17" s="131">
        <f t="shared" si="5"/>
        <v>0</v>
      </c>
      <c r="U17" s="131">
        <f t="shared" si="6"/>
        <v>-113435.7</v>
      </c>
      <c r="V17" s="118">
        <f t="shared" si="7"/>
        <v>129</v>
      </c>
    </row>
    <row r="18" spans="1:22" ht="15">
      <c r="A18" s="125" t="s">
        <v>362</v>
      </c>
      <c r="B18" s="126">
        <v>43585</v>
      </c>
      <c r="C18" s="127" t="s">
        <v>392</v>
      </c>
      <c r="D18" s="128">
        <v>1367.3</v>
      </c>
      <c r="F18" s="121"/>
      <c r="K18" s="129">
        <v>43605</v>
      </c>
      <c r="M18" s="124">
        <f t="shared" si="0"/>
        <v>43614</v>
      </c>
      <c r="N18" s="130">
        <v>43614</v>
      </c>
      <c r="O18" s="97">
        <f t="shared" si="1"/>
        <v>-9</v>
      </c>
      <c r="P18" s="97">
        <f t="shared" si="2"/>
        <v>0</v>
      </c>
      <c r="Q18" s="97">
        <f t="shared" si="3"/>
        <v>9</v>
      </c>
      <c r="R18" s="97">
        <f t="shared" si="4"/>
        <v>-21</v>
      </c>
      <c r="S18" s="2">
        <v>29</v>
      </c>
      <c r="T18" s="131">
        <f t="shared" si="5"/>
        <v>0</v>
      </c>
      <c r="U18" s="131">
        <f t="shared" si="6"/>
        <v>-28713.3</v>
      </c>
      <c r="V18" s="118">
        <f t="shared" si="7"/>
        <v>129</v>
      </c>
    </row>
    <row r="19" spans="1:22" ht="15">
      <c r="A19" s="125" t="s">
        <v>361</v>
      </c>
      <c r="B19" s="126">
        <v>43626</v>
      </c>
      <c r="C19" s="127" t="s">
        <v>393</v>
      </c>
      <c r="D19" s="128">
        <v>-4513.3</v>
      </c>
      <c r="F19" s="121"/>
      <c r="K19" s="129">
        <v>43635</v>
      </c>
      <c r="M19" s="124">
        <f t="shared" si="0"/>
        <v>43630</v>
      </c>
      <c r="N19" s="130">
        <v>43630</v>
      </c>
      <c r="O19" s="97">
        <f t="shared" si="1"/>
        <v>5</v>
      </c>
      <c r="P19" s="97">
        <f t="shared" si="2"/>
        <v>0</v>
      </c>
      <c r="Q19" s="97">
        <f t="shared" si="3"/>
        <v>-5</v>
      </c>
      <c r="R19" s="97">
        <f t="shared" si="4"/>
        <v>-35</v>
      </c>
      <c r="S19" s="2">
        <v>29</v>
      </c>
      <c r="T19" s="131">
        <f t="shared" si="5"/>
        <v>0</v>
      </c>
      <c r="U19" s="131">
        <f t="shared" si="6"/>
        <v>157965.5</v>
      </c>
      <c r="V19" s="118">
        <f t="shared" si="7"/>
        <v>129</v>
      </c>
    </row>
    <row r="20" spans="1:22" ht="15">
      <c r="A20" s="125" t="s">
        <v>356</v>
      </c>
      <c r="B20" s="126">
        <v>43585</v>
      </c>
      <c r="C20" s="127" t="s">
        <v>398</v>
      </c>
      <c r="D20" s="128">
        <v>726</v>
      </c>
      <c r="F20" s="121"/>
      <c r="K20" s="129">
        <v>43609</v>
      </c>
      <c r="M20" s="124">
        <f t="shared" si="0"/>
        <v>43614</v>
      </c>
      <c r="N20" s="130">
        <v>43614</v>
      </c>
      <c r="O20" s="97">
        <f t="shared" si="1"/>
        <v>-5</v>
      </c>
      <c r="P20" s="97">
        <f t="shared" si="2"/>
        <v>0</v>
      </c>
      <c r="Q20" s="97">
        <f t="shared" si="3"/>
        <v>5</v>
      </c>
      <c r="R20" s="97">
        <f t="shared" si="4"/>
        <v>-25</v>
      </c>
      <c r="S20" s="2">
        <v>29</v>
      </c>
      <c r="T20" s="131">
        <f t="shared" si="5"/>
        <v>0</v>
      </c>
      <c r="U20" s="131">
        <f t="shared" si="6"/>
        <v>-18150</v>
      </c>
      <c r="V20" s="118">
        <f t="shared" si="7"/>
        <v>129</v>
      </c>
    </row>
    <row r="21" spans="1:22" ht="15">
      <c r="A21" s="125" t="s">
        <v>355</v>
      </c>
      <c r="B21" s="126">
        <v>43565</v>
      </c>
      <c r="C21" s="127" t="s">
        <v>399</v>
      </c>
      <c r="D21" s="128">
        <v>201.01</v>
      </c>
      <c r="F21" s="121"/>
      <c r="K21" s="129">
        <v>43591</v>
      </c>
      <c r="M21" s="124">
        <f t="shared" si="0"/>
        <v>43600</v>
      </c>
      <c r="N21" s="130">
        <v>43600</v>
      </c>
      <c r="O21" s="97">
        <f t="shared" si="1"/>
        <v>-9</v>
      </c>
      <c r="P21" s="97">
        <f t="shared" si="2"/>
        <v>0</v>
      </c>
      <c r="Q21" s="97">
        <f t="shared" si="3"/>
        <v>9</v>
      </c>
      <c r="R21" s="97">
        <f t="shared" si="4"/>
        <v>-21</v>
      </c>
      <c r="S21" s="2">
        <v>29</v>
      </c>
      <c r="T21" s="131">
        <f t="shared" si="5"/>
        <v>0</v>
      </c>
      <c r="U21" s="131">
        <f t="shared" si="6"/>
        <v>-4221.21</v>
      </c>
      <c r="V21" s="118">
        <f t="shared" si="7"/>
        <v>129</v>
      </c>
    </row>
    <row r="22" spans="1:22" ht="15">
      <c r="A22" s="125" t="s">
        <v>353</v>
      </c>
      <c r="B22" s="126">
        <v>43556</v>
      </c>
      <c r="C22" s="127" t="s">
        <v>401</v>
      </c>
      <c r="D22" s="128">
        <v>114.95</v>
      </c>
      <c r="F22" s="121"/>
      <c r="K22" s="129">
        <v>43585</v>
      </c>
      <c r="M22" s="124">
        <f t="shared" si="0"/>
        <v>43580</v>
      </c>
      <c r="N22" s="130">
        <v>43580</v>
      </c>
      <c r="O22" s="97">
        <f t="shared" si="1"/>
        <v>5</v>
      </c>
      <c r="P22" s="97">
        <f t="shared" si="2"/>
        <v>0</v>
      </c>
      <c r="Q22" s="97">
        <f t="shared" si="3"/>
        <v>-5</v>
      </c>
      <c r="R22" s="97">
        <f t="shared" si="4"/>
        <v>-35</v>
      </c>
      <c r="S22" s="2">
        <v>21</v>
      </c>
      <c r="T22" s="131">
        <f t="shared" si="5"/>
        <v>0</v>
      </c>
      <c r="U22" s="131">
        <f t="shared" si="6"/>
        <v>-4023.25</v>
      </c>
      <c r="V22" s="118">
        <f t="shared" si="7"/>
        <v>121</v>
      </c>
    </row>
    <row r="23" spans="1:22" ht="15">
      <c r="A23" s="125" t="s">
        <v>352</v>
      </c>
      <c r="B23" s="126">
        <v>43586</v>
      </c>
      <c r="C23" s="127" t="s">
        <v>402</v>
      </c>
      <c r="D23" s="128">
        <v>114.95</v>
      </c>
      <c r="F23" s="121"/>
      <c r="K23" s="129">
        <v>43593</v>
      </c>
      <c r="M23" s="124">
        <f t="shared" si="0"/>
        <v>43612</v>
      </c>
      <c r="N23" s="130">
        <v>43612</v>
      </c>
      <c r="O23" s="97">
        <f t="shared" si="1"/>
        <v>-19</v>
      </c>
      <c r="P23" s="97">
        <f t="shared" si="2"/>
        <v>0</v>
      </c>
      <c r="Q23" s="97">
        <f t="shared" si="3"/>
        <v>19</v>
      </c>
      <c r="R23" s="97">
        <f t="shared" si="4"/>
        <v>-11</v>
      </c>
      <c r="S23" s="2">
        <v>21</v>
      </c>
      <c r="T23" s="131">
        <f t="shared" si="5"/>
        <v>0</v>
      </c>
      <c r="U23" s="131">
        <f t="shared" si="6"/>
        <v>-1264.45</v>
      </c>
      <c r="V23" s="118">
        <f t="shared" si="7"/>
        <v>121</v>
      </c>
    </row>
    <row r="24" spans="1:22" ht="15">
      <c r="A24" s="125" t="s">
        <v>351</v>
      </c>
      <c r="B24" s="126">
        <v>43617</v>
      </c>
      <c r="C24" s="127" t="s">
        <v>403</v>
      </c>
      <c r="D24" s="128">
        <v>114.95</v>
      </c>
      <c r="F24" s="121"/>
      <c r="K24" s="129">
        <v>43617</v>
      </c>
      <c r="M24" s="124">
        <f t="shared" si="0"/>
        <v>43641</v>
      </c>
      <c r="N24" s="130">
        <v>43641</v>
      </c>
      <c r="O24" s="97">
        <f t="shared" si="1"/>
        <v>-24</v>
      </c>
      <c r="P24" s="97">
        <f t="shared" si="2"/>
        <v>0</v>
      </c>
      <c r="Q24" s="97">
        <f t="shared" si="3"/>
        <v>24</v>
      </c>
      <c r="R24" s="97">
        <f t="shared" si="4"/>
        <v>-6</v>
      </c>
      <c r="S24" s="2">
        <v>21</v>
      </c>
      <c r="T24" s="131">
        <f t="shared" si="5"/>
        <v>0</v>
      </c>
      <c r="U24" s="131">
        <f t="shared" si="6"/>
        <v>-689.7</v>
      </c>
      <c r="V24" s="118">
        <f t="shared" si="7"/>
        <v>121</v>
      </c>
    </row>
    <row r="25" spans="1:22" ht="15">
      <c r="A25" s="125" t="s">
        <v>350</v>
      </c>
      <c r="B25" s="126">
        <v>43570</v>
      </c>
      <c r="C25" s="127" t="s">
        <v>404</v>
      </c>
      <c r="D25" s="128">
        <v>663</v>
      </c>
      <c r="F25" s="121"/>
      <c r="K25" s="129">
        <v>43587</v>
      </c>
      <c r="M25" s="124">
        <f t="shared" si="0"/>
        <v>43600</v>
      </c>
      <c r="N25" s="130">
        <v>43600</v>
      </c>
      <c r="O25" s="97">
        <f t="shared" si="1"/>
        <v>-13</v>
      </c>
      <c r="P25" s="97">
        <f t="shared" si="2"/>
        <v>0</v>
      </c>
      <c r="Q25" s="97">
        <f t="shared" si="3"/>
        <v>13</v>
      </c>
      <c r="R25" s="97">
        <f t="shared" si="4"/>
        <v>-17</v>
      </c>
      <c r="S25" s="2">
        <v>29</v>
      </c>
      <c r="T25" s="131">
        <f t="shared" si="5"/>
        <v>0</v>
      </c>
      <c r="U25" s="131">
        <f t="shared" si="6"/>
        <v>-11271</v>
      </c>
      <c r="V25" s="118">
        <f t="shared" si="7"/>
        <v>129</v>
      </c>
    </row>
    <row r="26" spans="1:22" ht="15">
      <c r="A26" s="125" t="s">
        <v>349</v>
      </c>
      <c r="B26" s="126">
        <v>43556</v>
      </c>
      <c r="C26" s="127" t="s">
        <v>405</v>
      </c>
      <c r="D26" s="128">
        <v>28.6</v>
      </c>
      <c r="F26" s="121"/>
      <c r="K26" s="129">
        <v>43556</v>
      </c>
      <c r="M26" s="124">
        <f t="shared" si="0"/>
        <v>43560</v>
      </c>
      <c r="N26" s="130">
        <v>43560</v>
      </c>
      <c r="O26" s="97">
        <f t="shared" si="1"/>
        <v>-4</v>
      </c>
      <c r="P26" s="97">
        <f t="shared" si="2"/>
        <v>0</v>
      </c>
      <c r="Q26" s="97">
        <f t="shared" si="3"/>
        <v>4</v>
      </c>
      <c r="R26" s="97">
        <f t="shared" si="4"/>
        <v>-26</v>
      </c>
      <c r="S26" s="2">
        <v>20</v>
      </c>
      <c r="T26" s="131">
        <f t="shared" si="5"/>
        <v>0</v>
      </c>
      <c r="U26" s="131">
        <f t="shared" si="6"/>
        <v>-743.6</v>
      </c>
      <c r="V26" s="118">
        <f t="shared" si="7"/>
        <v>120</v>
      </c>
    </row>
    <row r="27" spans="1:22" ht="15">
      <c r="A27" s="125" t="s">
        <v>348</v>
      </c>
      <c r="B27" s="126">
        <v>43556</v>
      </c>
      <c r="C27" s="127" t="s">
        <v>406</v>
      </c>
      <c r="D27" s="128">
        <v>61.41</v>
      </c>
      <c r="F27" s="121"/>
      <c r="K27" s="129">
        <v>43556</v>
      </c>
      <c r="M27" s="124">
        <f t="shared" si="0"/>
        <v>43560</v>
      </c>
      <c r="N27" s="130">
        <v>43560</v>
      </c>
      <c r="O27" s="97">
        <f t="shared" si="1"/>
        <v>-4</v>
      </c>
      <c r="P27" s="97">
        <f t="shared" si="2"/>
        <v>0</v>
      </c>
      <c r="Q27" s="97">
        <f t="shared" si="3"/>
        <v>4</v>
      </c>
      <c r="R27" s="97">
        <f t="shared" si="4"/>
        <v>-26</v>
      </c>
      <c r="S27" s="2">
        <v>20</v>
      </c>
      <c r="T27" s="131">
        <f t="shared" si="5"/>
        <v>0</v>
      </c>
      <c r="U27" s="131">
        <f t="shared" si="6"/>
        <v>-1596.6599999999999</v>
      </c>
      <c r="V27" s="118">
        <f t="shared" si="7"/>
        <v>120</v>
      </c>
    </row>
    <row r="28" spans="1:22" ht="15">
      <c r="A28" s="125" t="s">
        <v>347</v>
      </c>
      <c r="B28" s="126">
        <v>43556</v>
      </c>
      <c r="C28" s="127" t="s">
        <v>407</v>
      </c>
      <c r="D28" s="128">
        <v>217.8</v>
      </c>
      <c r="F28" s="121"/>
      <c r="K28" s="129">
        <v>43556</v>
      </c>
      <c r="M28" s="124">
        <f t="shared" si="0"/>
        <v>43560</v>
      </c>
      <c r="N28" s="130">
        <v>43560</v>
      </c>
      <c r="O28" s="97">
        <f t="shared" si="1"/>
        <v>-4</v>
      </c>
      <c r="P28" s="97">
        <f t="shared" si="2"/>
        <v>0</v>
      </c>
      <c r="Q28" s="97">
        <f t="shared" si="3"/>
        <v>4</v>
      </c>
      <c r="R28" s="97">
        <f t="shared" si="4"/>
        <v>-26</v>
      </c>
      <c r="S28" s="2">
        <v>20</v>
      </c>
      <c r="T28" s="131">
        <f t="shared" si="5"/>
        <v>0</v>
      </c>
      <c r="U28" s="131">
        <f t="shared" si="6"/>
        <v>-5662.8</v>
      </c>
      <c r="V28" s="118">
        <f t="shared" si="7"/>
        <v>120</v>
      </c>
    </row>
    <row r="29" spans="1:22" ht="15">
      <c r="A29" s="125" t="s">
        <v>346</v>
      </c>
      <c r="B29" s="126">
        <v>43617</v>
      </c>
      <c r="C29" s="127" t="s">
        <v>408</v>
      </c>
      <c r="D29" s="128">
        <v>217.8</v>
      </c>
      <c r="F29" s="121"/>
      <c r="K29" s="129">
        <v>43617</v>
      </c>
      <c r="M29" s="124">
        <f t="shared" si="0"/>
        <v>43621</v>
      </c>
      <c r="N29" s="130">
        <v>43621</v>
      </c>
      <c r="O29" s="97">
        <f t="shared" si="1"/>
        <v>-4</v>
      </c>
      <c r="P29" s="97">
        <f t="shared" si="2"/>
        <v>0</v>
      </c>
      <c r="Q29" s="97">
        <f t="shared" si="3"/>
        <v>4</v>
      </c>
      <c r="R29" s="97">
        <f t="shared" si="4"/>
        <v>-26</v>
      </c>
      <c r="S29" s="2">
        <v>20</v>
      </c>
      <c r="T29" s="131">
        <f t="shared" si="5"/>
        <v>0</v>
      </c>
      <c r="U29" s="131">
        <f t="shared" si="6"/>
        <v>-5662.8</v>
      </c>
      <c r="V29" s="118">
        <f t="shared" si="7"/>
        <v>120</v>
      </c>
    </row>
    <row r="30" spans="1:22" ht="15">
      <c r="A30" s="125" t="s">
        <v>345</v>
      </c>
      <c r="B30" s="126">
        <v>43586</v>
      </c>
      <c r="C30" s="127" t="s">
        <v>409</v>
      </c>
      <c r="D30" s="128">
        <v>217.8</v>
      </c>
      <c r="F30" s="121"/>
      <c r="K30" s="129">
        <v>43586</v>
      </c>
      <c r="M30" s="124">
        <f t="shared" si="0"/>
        <v>43592</v>
      </c>
      <c r="N30" s="130">
        <v>43592</v>
      </c>
      <c r="O30" s="97">
        <f t="shared" si="1"/>
        <v>-6</v>
      </c>
      <c r="P30" s="97">
        <f t="shared" si="2"/>
        <v>0</v>
      </c>
      <c r="Q30" s="97">
        <f t="shared" si="3"/>
        <v>6</v>
      </c>
      <c r="R30" s="97">
        <f t="shared" si="4"/>
        <v>-24</v>
      </c>
      <c r="S30" s="2">
        <v>20</v>
      </c>
      <c r="T30" s="131">
        <f t="shared" si="5"/>
        <v>0</v>
      </c>
      <c r="U30" s="131">
        <f t="shared" si="6"/>
        <v>-5227.200000000001</v>
      </c>
      <c r="V30" s="118">
        <f t="shared" si="7"/>
        <v>120</v>
      </c>
    </row>
    <row r="31" spans="1:22" ht="15">
      <c r="A31" s="125" t="s">
        <v>344</v>
      </c>
      <c r="B31" s="126">
        <v>43617</v>
      </c>
      <c r="C31" s="127" t="s">
        <v>410</v>
      </c>
      <c r="D31" s="128">
        <v>28.6</v>
      </c>
      <c r="F31" s="121"/>
      <c r="K31" s="129">
        <v>43617</v>
      </c>
      <c r="M31" s="124">
        <f t="shared" si="0"/>
        <v>43621</v>
      </c>
      <c r="N31" s="130">
        <v>43621</v>
      </c>
      <c r="O31" s="97">
        <f t="shared" si="1"/>
        <v>-4</v>
      </c>
      <c r="P31" s="97">
        <f t="shared" si="2"/>
        <v>0</v>
      </c>
      <c r="Q31" s="97">
        <f t="shared" si="3"/>
        <v>4</v>
      </c>
      <c r="R31" s="97">
        <f t="shared" si="4"/>
        <v>-26</v>
      </c>
      <c r="S31" s="2">
        <v>20</v>
      </c>
      <c r="T31" s="131">
        <f t="shared" si="5"/>
        <v>0</v>
      </c>
      <c r="U31" s="131">
        <f t="shared" si="6"/>
        <v>-743.6</v>
      </c>
      <c r="V31" s="118">
        <f t="shared" si="7"/>
        <v>120</v>
      </c>
    </row>
    <row r="32" spans="1:22" ht="15">
      <c r="A32" s="125" t="s">
        <v>343</v>
      </c>
      <c r="B32" s="126">
        <v>43617</v>
      </c>
      <c r="C32" s="127" t="s">
        <v>411</v>
      </c>
      <c r="D32" s="128">
        <v>61.41</v>
      </c>
      <c r="F32" s="121"/>
      <c r="K32" s="129">
        <v>43617</v>
      </c>
      <c r="M32" s="124">
        <f t="shared" si="0"/>
        <v>43621</v>
      </c>
      <c r="N32" s="130">
        <v>43621</v>
      </c>
      <c r="O32" s="97">
        <f t="shared" si="1"/>
        <v>-4</v>
      </c>
      <c r="P32" s="97">
        <f t="shared" si="2"/>
        <v>0</v>
      </c>
      <c r="Q32" s="97">
        <f t="shared" si="3"/>
        <v>4</v>
      </c>
      <c r="R32" s="97">
        <f t="shared" si="4"/>
        <v>-26</v>
      </c>
      <c r="S32" s="2">
        <v>20</v>
      </c>
      <c r="T32" s="131">
        <f t="shared" si="5"/>
        <v>0</v>
      </c>
      <c r="U32" s="131">
        <f t="shared" si="6"/>
        <v>-1596.6599999999999</v>
      </c>
      <c r="V32" s="118">
        <f t="shared" si="7"/>
        <v>120</v>
      </c>
    </row>
    <row r="33" spans="1:22" ht="15">
      <c r="A33" s="125" t="s">
        <v>342</v>
      </c>
      <c r="B33" s="126">
        <v>43586</v>
      </c>
      <c r="C33" s="127" t="s">
        <v>412</v>
      </c>
      <c r="D33" s="128">
        <v>61.41</v>
      </c>
      <c r="F33" s="121"/>
      <c r="K33" s="129">
        <v>43586</v>
      </c>
      <c r="M33" s="124">
        <f t="shared" si="0"/>
        <v>43586</v>
      </c>
      <c r="N33" s="130">
        <v>43586</v>
      </c>
      <c r="O33" s="97">
        <f t="shared" si="1"/>
        <v>0</v>
      </c>
      <c r="P33" s="97">
        <f t="shared" si="2"/>
        <v>0</v>
      </c>
      <c r="Q33" s="97">
        <f t="shared" si="3"/>
        <v>0</v>
      </c>
      <c r="R33" s="97">
        <f t="shared" si="4"/>
        <v>-30</v>
      </c>
      <c r="S33" s="2">
        <v>20</v>
      </c>
      <c r="T33" s="131">
        <f t="shared" si="5"/>
        <v>0</v>
      </c>
      <c r="U33" s="131">
        <f t="shared" si="6"/>
        <v>-1842.3</v>
      </c>
      <c r="V33" s="118">
        <f t="shared" si="7"/>
        <v>120</v>
      </c>
    </row>
    <row r="34" spans="1:22" ht="15">
      <c r="A34" s="125" t="s">
        <v>341</v>
      </c>
      <c r="B34" s="126">
        <v>43586</v>
      </c>
      <c r="C34" s="127" t="s">
        <v>413</v>
      </c>
      <c r="D34" s="128">
        <v>28.6</v>
      </c>
      <c r="F34" s="121"/>
      <c r="K34" s="129">
        <v>43586</v>
      </c>
      <c r="M34" s="124">
        <f t="shared" si="0"/>
        <v>43592</v>
      </c>
      <c r="N34" s="130">
        <v>43592</v>
      </c>
      <c r="O34" s="97">
        <f t="shared" si="1"/>
        <v>-6</v>
      </c>
      <c r="P34" s="97">
        <f t="shared" si="2"/>
        <v>0</v>
      </c>
      <c r="Q34" s="97">
        <f t="shared" si="3"/>
        <v>6</v>
      </c>
      <c r="R34" s="97">
        <f t="shared" si="4"/>
        <v>-24</v>
      </c>
      <c r="S34" s="2">
        <v>20</v>
      </c>
      <c r="T34" s="131">
        <f t="shared" si="5"/>
        <v>0</v>
      </c>
      <c r="U34" s="131">
        <f t="shared" si="6"/>
        <v>-686.4000000000001</v>
      </c>
      <c r="V34" s="118">
        <f t="shared" si="7"/>
        <v>120</v>
      </c>
    </row>
    <row r="35" spans="1:22" ht="15">
      <c r="A35" s="125" t="s">
        <v>340</v>
      </c>
      <c r="B35" s="126">
        <v>43556</v>
      </c>
      <c r="C35" s="127" t="s">
        <v>414</v>
      </c>
      <c r="D35" s="128">
        <v>57.94</v>
      </c>
      <c r="F35" s="121"/>
      <c r="K35" s="129">
        <v>43556</v>
      </c>
      <c r="M35" s="124">
        <f t="shared" si="0"/>
        <v>43612</v>
      </c>
      <c r="N35" s="130">
        <v>43612</v>
      </c>
      <c r="O35" s="97">
        <f t="shared" si="1"/>
        <v>-56</v>
      </c>
      <c r="P35" s="97">
        <f t="shared" si="2"/>
        <v>0</v>
      </c>
      <c r="Q35" s="97">
        <f t="shared" si="3"/>
        <v>56</v>
      </c>
      <c r="R35" s="97">
        <f t="shared" si="4"/>
        <v>26</v>
      </c>
      <c r="S35" s="2">
        <v>29</v>
      </c>
      <c r="T35" s="131">
        <f t="shared" si="5"/>
        <v>0</v>
      </c>
      <c r="U35" s="131">
        <f t="shared" si="6"/>
        <v>1506.44</v>
      </c>
      <c r="V35" s="118">
        <f t="shared" si="7"/>
        <v>129</v>
      </c>
    </row>
    <row r="36" spans="1:22" ht="15">
      <c r="A36" s="125" t="s">
        <v>339</v>
      </c>
      <c r="B36" s="126">
        <v>43585</v>
      </c>
      <c r="C36" s="127" t="s">
        <v>415</v>
      </c>
      <c r="D36" s="128">
        <v>1117.74</v>
      </c>
      <c r="F36" s="121"/>
      <c r="K36" s="129">
        <v>43601</v>
      </c>
      <c r="M36" s="124">
        <f t="shared" si="0"/>
        <v>43615</v>
      </c>
      <c r="N36" s="130">
        <v>43615</v>
      </c>
      <c r="O36" s="97">
        <f t="shared" si="1"/>
        <v>-14</v>
      </c>
      <c r="P36" s="97">
        <f t="shared" si="2"/>
        <v>0</v>
      </c>
      <c r="Q36" s="97">
        <f t="shared" si="3"/>
        <v>14</v>
      </c>
      <c r="R36" s="97">
        <f t="shared" si="4"/>
        <v>-16</v>
      </c>
      <c r="S36" s="2">
        <v>29</v>
      </c>
      <c r="T36" s="131">
        <f t="shared" si="5"/>
        <v>0</v>
      </c>
      <c r="U36" s="131">
        <f t="shared" si="6"/>
        <v>-17883.84</v>
      </c>
      <c r="V36" s="118">
        <f t="shared" si="7"/>
        <v>129</v>
      </c>
    </row>
    <row r="37" spans="1:22" ht="15">
      <c r="A37" s="125" t="s">
        <v>338</v>
      </c>
      <c r="B37" s="126">
        <v>43614</v>
      </c>
      <c r="C37" s="127" t="s">
        <v>416</v>
      </c>
      <c r="D37" s="128">
        <v>132.5</v>
      </c>
      <c r="F37" s="121"/>
      <c r="K37" s="129">
        <v>43628</v>
      </c>
      <c r="M37" s="124">
        <f t="shared" si="0"/>
        <v>43644</v>
      </c>
      <c r="N37" s="130">
        <v>43644</v>
      </c>
      <c r="O37" s="97">
        <f t="shared" si="1"/>
        <v>-16</v>
      </c>
      <c r="P37" s="97">
        <f t="shared" si="2"/>
        <v>0</v>
      </c>
      <c r="Q37" s="97">
        <f t="shared" si="3"/>
        <v>16</v>
      </c>
      <c r="R37" s="97">
        <f t="shared" si="4"/>
        <v>-14</v>
      </c>
      <c r="S37" s="2">
        <v>29</v>
      </c>
      <c r="T37" s="131">
        <f t="shared" si="5"/>
        <v>0</v>
      </c>
      <c r="U37" s="131">
        <f t="shared" si="6"/>
        <v>-1855</v>
      </c>
      <c r="V37" s="118">
        <f t="shared" si="7"/>
        <v>129</v>
      </c>
    </row>
    <row r="38" spans="1:22" ht="15">
      <c r="A38" s="125" t="s">
        <v>337</v>
      </c>
      <c r="B38" s="126">
        <v>43614</v>
      </c>
      <c r="C38" s="127" t="s">
        <v>417</v>
      </c>
      <c r="D38" s="128">
        <v>4944.31</v>
      </c>
      <c r="F38" s="121"/>
      <c r="K38" s="129">
        <v>43628</v>
      </c>
      <c r="M38" s="124">
        <f t="shared" si="0"/>
        <v>43644</v>
      </c>
      <c r="N38" s="130">
        <v>43644</v>
      </c>
      <c r="O38" s="97">
        <f t="shared" si="1"/>
        <v>-16</v>
      </c>
      <c r="P38" s="97">
        <f t="shared" si="2"/>
        <v>0</v>
      </c>
      <c r="Q38" s="97">
        <f t="shared" si="3"/>
        <v>16</v>
      </c>
      <c r="R38" s="97">
        <f t="shared" si="4"/>
        <v>-14</v>
      </c>
      <c r="S38" s="2">
        <v>29</v>
      </c>
      <c r="T38" s="131">
        <f t="shared" si="5"/>
        <v>0</v>
      </c>
      <c r="U38" s="131">
        <f t="shared" si="6"/>
        <v>-69220.34000000001</v>
      </c>
      <c r="V38" s="118">
        <f t="shared" si="7"/>
        <v>129</v>
      </c>
    </row>
    <row r="39" spans="1:22" ht="15">
      <c r="A39" s="125" t="s">
        <v>336</v>
      </c>
      <c r="B39" s="126">
        <v>43593</v>
      </c>
      <c r="C39" s="127" t="s">
        <v>418</v>
      </c>
      <c r="D39" s="128">
        <v>105</v>
      </c>
      <c r="F39" s="121"/>
      <c r="K39" s="129">
        <v>43607</v>
      </c>
      <c r="M39" s="124">
        <f t="shared" si="0"/>
        <v>43617</v>
      </c>
      <c r="N39" s="130">
        <v>43617</v>
      </c>
      <c r="O39" s="97">
        <f t="shared" si="1"/>
        <v>-10</v>
      </c>
      <c r="P39" s="97">
        <f t="shared" si="2"/>
        <v>0</v>
      </c>
      <c r="Q39" s="97">
        <f t="shared" si="3"/>
        <v>10</v>
      </c>
      <c r="R39" s="97">
        <f t="shared" si="4"/>
        <v>-20</v>
      </c>
      <c r="S39" s="2">
        <v>29</v>
      </c>
      <c r="T39" s="131">
        <f t="shared" si="5"/>
        <v>0</v>
      </c>
      <c r="U39" s="131">
        <f t="shared" si="6"/>
        <v>-2100</v>
      </c>
      <c r="V39" s="118">
        <f t="shared" si="7"/>
        <v>129</v>
      </c>
    </row>
    <row r="40" spans="1:22" ht="15">
      <c r="A40" s="125" t="s">
        <v>335</v>
      </c>
      <c r="B40" s="126">
        <v>43557</v>
      </c>
      <c r="C40" s="127" t="s">
        <v>419</v>
      </c>
      <c r="D40" s="128">
        <v>268.64</v>
      </c>
      <c r="F40" s="121"/>
      <c r="K40" s="129">
        <v>43557</v>
      </c>
      <c r="M40" s="124">
        <f t="shared" si="0"/>
        <v>43586</v>
      </c>
      <c r="N40" s="124">
        <v>43586</v>
      </c>
      <c r="O40" s="97">
        <f t="shared" si="1"/>
        <v>-29</v>
      </c>
      <c r="P40" s="97">
        <f t="shared" si="2"/>
        <v>0</v>
      </c>
      <c r="Q40" s="97">
        <f t="shared" si="3"/>
        <v>29</v>
      </c>
      <c r="R40" s="97">
        <f t="shared" si="4"/>
        <v>-1</v>
      </c>
      <c r="S40" s="2">
        <v>21</v>
      </c>
      <c r="T40" s="131">
        <f t="shared" si="5"/>
        <v>0</v>
      </c>
      <c r="U40" s="131">
        <f t="shared" si="6"/>
        <v>-268.64</v>
      </c>
      <c r="V40" s="118">
        <f t="shared" si="7"/>
        <v>121</v>
      </c>
    </row>
    <row r="41" spans="1:22" ht="15">
      <c r="A41" s="125" t="s">
        <v>333</v>
      </c>
      <c r="B41" s="126">
        <v>43623</v>
      </c>
      <c r="C41" s="127" t="s">
        <v>421</v>
      </c>
      <c r="D41" s="128">
        <v>5443.19</v>
      </c>
      <c r="F41" s="121"/>
      <c r="K41" s="129">
        <v>43628</v>
      </c>
      <c r="M41" s="124">
        <f t="shared" si="0"/>
        <v>43633</v>
      </c>
      <c r="N41" s="124">
        <v>43633</v>
      </c>
      <c r="O41" s="97">
        <f t="shared" si="1"/>
        <v>-5</v>
      </c>
      <c r="P41" s="97">
        <f t="shared" si="2"/>
        <v>0</v>
      </c>
      <c r="Q41" s="97">
        <f t="shared" si="3"/>
        <v>5</v>
      </c>
      <c r="R41" s="97">
        <f t="shared" si="4"/>
        <v>-25</v>
      </c>
      <c r="S41" s="2">
        <v>29</v>
      </c>
      <c r="T41" s="131">
        <f t="shared" si="5"/>
        <v>0</v>
      </c>
      <c r="U41" s="131">
        <f t="shared" si="6"/>
        <v>-136079.75</v>
      </c>
      <c r="V41" s="118">
        <f t="shared" si="7"/>
        <v>129</v>
      </c>
    </row>
    <row r="42" spans="1:22" ht="15">
      <c r="A42" s="125" t="s">
        <v>330</v>
      </c>
      <c r="B42" s="126">
        <v>43630</v>
      </c>
      <c r="C42" s="127" t="s">
        <v>424</v>
      </c>
      <c r="D42" s="128">
        <v>44.71</v>
      </c>
      <c r="F42" s="121"/>
      <c r="K42" s="129">
        <v>43630</v>
      </c>
      <c r="M42" s="124">
        <f t="shared" si="0"/>
        <v>43634</v>
      </c>
      <c r="N42" s="124">
        <v>43634</v>
      </c>
      <c r="O42" s="97">
        <f t="shared" si="1"/>
        <v>-4</v>
      </c>
      <c r="P42" s="97">
        <f t="shared" si="2"/>
        <v>0</v>
      </c>
      <c r="Q42" s="97">
        <f t="shared" si="3"/>
        <v>4</v>
      </c>
      <c r="R42" s="97">
        <f t="shared" si="4"/>
        <v>-26</v>
      </c>
      <c r="S42" s="2">
        <v>21</v>
      </c>
      <c r="T42" s="131">
        <f t="shared" si="5"/>
        <v>0</v>
      </c>
      <c r="U42" s="131">
        <f t="shared" si="6"/>
        <v>-1162.46</v>
      </c>
      <c r="V42" s="118">
        <f t="shared" si="7"/>
        <v>121</v>
      </c>
    </row>
    <row r="43" spans="1:22" ht="15">
      <c r="A43" s="125" t="s">
        <v>329</v>
      </c>
      <c r="B43" s="126">
        <v>43620</v>
      </c>
      <c r="C43" s="127" t="s">
        <v>425</v>
      </c>
      <c r="D43" s="128">
        <v>16.94</v>
      </c>
      <c r="F43" s="121"/>
      <c r="K43" s="129">
        <v>43620</v>
      </c>
      <c r="M43" s="124">
        <f t="shared" si="0"/>
        <v>43622</v>
      </c>
      <c r="N43" s="124">
        <v>43622</v>
      </c>
      <c r="O43" s="97">
        <f t="shared" si="1"/>
        <v>-2</v>
      </c>
      <c r="P43" s="97">
        <f t="shared" si="2"/>
        <v>0</v>
      </c>
      <c r="Q43" s="97">
        <f t="shared" si="3"/>
        <v>2</v>
      </c>
      <c r="R43" s="97">
        <f t="shared" si="4"/>
        <v>-28</v>
      </c>
      <c r="S43" s="2">
        <v>21</v>
      </c>
      <c r="T43" s="131">
        <f t="shared" si="5"/>
        <v>0</v>
      </c>
      <c r="U43" s="131">
        <f t="shared" si="6"/>
        <v>-474.32000000000005</v>
      </c>
      <c r="V43" s="118">
        <f t="shared" si="7"/>
        <v>121</v>
      </c>
    </row>
    <row r="44" spans="1:22" ht="15">
      <c r="A44" s="125" t="s">
        <v>328</v>
      </c>
      <c r="B44" s="126">
        <v>43585</v>
      </c>
      <c r="C44" s="127" t="s">
        <v>426</v>
      </c>
      <c r="D44" s="128">
        <v>16.34</v>
      </c>
      <c r="F44" s="121"/>
      <c r="K44" s="129">
        <v>43585</v>
      </c>
      <c r="M44" s="124">
        <f t="shared" si="0"/>
        <v>43588</v>
      </c>
      <c r="N44" s="124">
        <v>43588</v>
      </c>
      <c r="O44" s="97">
        <f t="shared" si="1"/>
        <v>-3</v>
      </c>
      <c r="P44" s="97">
        <f t="shared" si="2"/>
        <v>0</v>
      </c>
      <c r="Q44" s="97">
        <f t="shared" si="3"/>
        <v>3</v>
      </c>
      <c r="R44" s="97">
        <f t="shared" si="4"/>
        <v>-27</v>
      </c>
      <c r="S44" s="2">
        <v>21</v>
      </c>
      <c r="T44" s="131">
        <f t="shared" si="5"/>
        <v>0</v>
      </c>
      <c r="U44" s="131">
        <f t="shared" si="6"/>
        <v>-441.18</v>
      </c>
      <c r="V44" s="118">
        <f t="shared" si="7"/>
        <v>121</v>
      </c>
    </row>
    <row r="45" spans="1:22" ht="15">
      <c r="A45" s="125" t="s">
        <v>327</v>
      </c>
      <c r="B45" s="126">
        <v>43566</v>
      </c>
      <c r="C45" s="127" t="s">
        <v>427</v>
      </c>
      <c r="D45" s="128">
        <v>1.21</v>
      </c>
      <c r="F45" s="121"/>
      <c r="K45" s="129">
        <v>43566</v>
      </c>
      <c r="M45" s="124">
        <f t="shared" si="0"/>
        <v>43570</v>
      </c>
      <c r="N45" s="124">
        <v>43570</v>
      </c>
      <c r="O45" s="97">
        <f t="shared" si="1"/>
        <v>-4</v>
      </c>
      <c r="P45" s="97">
        <f t="shared" si="2"/>
        <v>0</v>
      </c>
      <c r="Q45" s="97">
        <f t="shared" si="3"/>
        <v>4</v>
      </c>
      <c r="R45" s="97">
        <f t="shared" si="4"/>
        <v>-26</v>
      </c>
      <c r="S45" s="2">
        <v>21</v>
      </c>
      <c r="T45" s="131">
        <f t="shared" si="5"/>
        <v>0</v>
      </c>
      <c r="U45" s="131">
        <f t="shared" si="6"/>
        <v>-31.46</v>
      </c>
      <c r="V45" s="118">
        <f t="shared" si="7"/>
        <v>121</v>
      </c>
    </row>
    <row r="46" spans="1:22" ht="15">
      <c r="A46" s="125" t="s">
        <v>326</v>
      </c>
      <c r="B46" s="126">
        <v>43636</v>
      </c>
      <c r="C46" s="127" t="s">
        <v>428</v>
      </c>
      <c r="D46" s="128">
        <v>16.94</v>
      </c>
      <c r="F46" s="121"/>
      <c r="K46" s="129">
        <v>43636</v>
      </c>
      <c r="M46" s="124">
        <f t="shared" si="0"/>
        <v>43640</v>
      </c>
      <c r="N46" s="124">
        <v>43640</v>
      </c>
      <c r="O46" s="97">
        <f t="shared" si="1"/>
        <v>-4</v>
      </c>
      <c r="P46" s="97">
        <f t="shared" si="2"/>
        <v>0</v>
      </c>
      <c r="Q46" s="97">
        <f t="shared" si="3"/>
        <v>4</v>
      </c>
      <c r="R46" s="97">
        <f t="shared" si="4"/>
        <v>-26</v>
      </c>
      <c r="S46" s="2">
        <v>21</v>
      </c>
      <c r="T46" s="131">
        <f t="shared" si="5"/>
        <v>0</v>
      </c>
      <c r="U46" s="131">
        <f t="shared" si="6"/>
        <v>-440.44000000000005</v>
      </c>
      <c r="V46" s="118">
        <f t="shared" si="7"/>
        <v>121</v>
      </c>
    </row>
    <row r="47" spans="1:22" ht="15">
      <c r="A47" s="125" t="s">
        <v>325</v>
      </c>
      <c r="B47" s="126">
        <v>43587</v>
      </c>
      <c r="C47" s="127" t="s">
        <v>429</v>
      </c>
      <c r="D47" s="128">
        <v>95.58</v>
      </c>
      <c r="F47" s="121"/>
      <c r="K47" s="129">
        <v>43587</v>
      </c>
      <c r="M47" s="124">
        <f t="shared" si="0"/>
        <v>43591</v>
      </c>
      <c r="N47" s="124">
        <v>43591</v>
      </c>
      <c r="O47" s="97">
        <f t="shared" si="1"/>
        <v>-4</v>
      </c>
      <c r="P47" s="97">
        <f t="shared" si="2"/>
        <v>0</v>
      </c>
      <c r="Q47" s="97">
        <f t="shared" si="3"/>
        <v>4</v>
      </c>
      <c r="R47" s="97">
        <f t="shared" si="4"/>
        <v>-26</v>
      </c>
      <c r="S47" s="2">
        <v>21</v>
      </c>
      <c r="T47" s="131">
        <f t="shared" si="5"/>
        <v>0</v>
      </c>
      <c r="U47" s="131">
        <f t="shared" si="6"/>
        <v>-2485.08</v>
      </c>
      <c r="V47" s="118">
        <f t="shared" si="7"/>
        <v>121</v>
      </c>
    </row>
    <row r="48" spans="1:22" ht="15">
      <c r="A48" s="125" t="s">
        <v>323</v>
      </c>
      <c r="B48" s="126">
        <v>43592</v>
      </c>
      <c r="C48" s="127" t="s">
        <v>431</v>
      </c>
      <c r="D48" s="128">
        <v>495.75</v>
      </c>
      <c r="F48" s="121"/>
      <c r="K48" s="129">
        <v>43601</v>
      </c>
      <c r="M48" s="124">
        <f t="shared" si="0"/>
        <v>43601</v>
      </c>
      <c r="N48" s="124">
        <v>43601</v>
      </c>
      <c r="O48" s="97">
        <f t="shared" si="1"/>
        <v>0</v>
      </c>
      <c r="P48" s="97">
        <f t="shared" si="2"/>
        <v>0</v>
      </c>
      <c r="Q48" s="97">
        <f t="shared" si="3"/>
        <v>0</v>
      </c>
      <c r="R48" s="97">
        <f t="shared" si="4"/>
        <v>-30</v>
      </c>
      <c r="S48" s="2">
        <v>20</v>
      </c>
      <c r="T48" s="131">
        <f t="shared" si="5"/>
        <v>0</v>
      </c>
      <c r="U48" s="131">
        <f t="shared" si="6"/>
        <v>-14872.5</v>
      </c>
      <c r="V48" s="118">
        <f t="shared" si="7"/>
        <v>120</v>
      </c>
    </row>
    <row r="49" spans="1:22" ht="15">
      <c r="A49" s="125" t="s">
        <v>322</v>
      </c>
      <c r="B49" s="126">
        <v>43592</v>
      </c>
      <c r="C49" s="127" t="s">
        <v>432</v>
      </c>
      <c r="D49" s="128">
        <v>1983.01</v>
      </c>
      <c r="F49" s="121"/>
      <c r="K49" s="129">
        <v>43601</v>
      </c>
      <c r="M49" s="124">
        <f t="shared" si="0"/>
        <v>43601</v>
      </c>
      <c r="N49" s="124">
        <v>43601</v>
      </c>
      <c r="O49" s="97">
        <f t="shared" si="1"/>
        <v>0</v>
      </c>
      <c r="P49" s="97">
        <f t="shared" si="2"/>
        <v>0</v>
      </c>
      <c r="Q49" s="97">
        <f t="shared" si="3"/>
        <v>0</v>
      </c>
      <c r="R49" s="97">
        <f t="shared" si="4"/>
        <v>-30</v>
      </c>
      <c r="S49" s="2">
        <v>22</v>
      </c>
      <c r="T49" s="131">
        <f t="shared" si="5"/>
        <v>0</v>
      </c>
      <c r="U49" s="131">
        <f t="shared" si="6"/>
        <v>-59490.3</v>
      </c>
      <c r="V49" s="118">
        <f t="shared" si="7"/>
        <v>122</v>
      </c>
    </row>
    <row r="50" spans="1:22" ht="15">
      <c r="A50" s="125" t="s">
        <v>321</v>
      </c>
      <c r="B50" s="126">
        <v>43595</v>
      </c>
      <c r="C50" s="127" t="s">
        <v>433</v>
      </c>
      <c r="D50" s="128">
        <v>4320</v>
      </c>
      <c r="F50" s="121"/>
      <c r="K50" s="129">
        <v>43601</v>
      </c>
      <c r="M50" s="124">
        <f t="shared" si="0"/>
        <v>43614</v>
      </c>
      <c r="N50" s="124">
        <v>43614</v>
      </c>
      <c r="O50" s="97">
        <f t="shared" si="1"/>
        <v>-13</v>
      </c>
      <c r="P50" s="97">
        <f t="shared" si="2"/>
        <v>0</v>
      </c>
      <c r="Q50" s="97">
        <f t="shared" si="3"/>
        <v>13</v>
      </c>
      <c r="R50" s="97">
        <f t="shared" si="4"/>
        <v>-17</v>
      </c>
      <c r="S50" s="2">
        <v>22</v>
      </c>
      <c r="T50" s="131">
        <f t="shared" si="5"/>
        <v>0</v>
      </c>
      <c r="U50" s="131">
        <f t="shared" si="6"/>
        <v>-73440</v>
      </c>
      <c r="V50" s="118">
        <f t="shared" si="7"/>
        <v>122</v>
      </c>
    </row>
    <row r="51" spans="1:22" ht="15">
      <c r="A51" s="125" t="s">
        <v>320</v>
      </c>
      <c r="B51" s="126">
        <v>43595</v>
      </c>
      <c r="C51" s="127" t="s">
        <v>434</v>
      </c>
      <c r="D51" s="128">
        <v>1080</v>
      </c>
      <c r="F51" s="121"/>
      <c r="K51" s="129">
        <v>43601</v>
      </c>
      <c r="M51" s="124">
        <f t="shared" si="0"/>
        <v>43614</v>
      </c>
      <c r="N51" s="124">
        <v>43614</v>
      </c>
      <c r="O51" s="97">
        <f t="shared" si="1"/>
        <v>-13</v>
      </c>
      <c r="P51" s="97">
        <f t="shared" si="2"/>
        <v>0</v>
      </c>
      <c r="Q51" s="97">
        <f t="shared" si="3"/>
        <v>13</v>
      </c>
      <c r="R51" s="97">
        <f t="shared" si="4"/>
        <v>-17</v>
      </c>
      <c r="S51" s="2">
        <v>20</v>
      </c>
      <c r="T51" s="131">
        <f t="shared" si="5"/>
        <v>0</v>
      </c>
      <c r="U51" s="131">
        <f t="shared" si="6"/>
        <v>-18360</v>
      </c>
      <c r="V51" s="118">
        <f t="shared" si="7"/>
        <v>120</v>
      </c>
    </row>
    <row r="52" spans="1:22" ht="15">
      <c r="A52" s="125" t="s">
        <v>319</v>
      </c>
      <c r="B52" s="126">
        <v>43616</v>
      </c>
      <c r="C52" s="127" t="s">
        <v>435</v>
      </c>
      <c r="D52" s="128">
        <v>335.82</v>
      </c>
      <c r="F52" s="121"/>
      <c r="K52" s="129">
        <v>43628</v>
      </c>
      <c r="M52" s="124">
        <f t="shared" si="0"/>
        <v>43633</v>
      </c>
      <c r="N52" s="124">
        <v>43633</v>
      </c>
      <c r="O52" s="97">
        <f t="shared" si="1"/>
        <v>-5</v>
      </c>
      <c r="P52" s="97">
        <f t="shared" si="2"/>
        <v>0</v>
      </c>
      <c r="Q52" s="97">
        <f t="shared" si="3"/>
        <v>5</v>
      </c>
      <c r="R52" s="97">
        <f t="shared" si="4"/>
        <v>-25</v>
      </c>
      <c r="S52" s="2">
        <v>29</v>
      </c>
      <c r="T52" s="131">
        <f t="shared" si="5"/>
        <v>0</v>
      </c>
      <c r="U52" s="131">
        <f t="shared" si="6"/>
        <v>-8395.5</v>
      </c>
      <c r="V52" s="118">
        <f t="shared" si="7"/>
        <v>129</v>
      </c>
    </row>
    <row r="53" spans="1:22" ht="15">
      <c r="A53" s="125" t="s">
        <v>318</v>
      </c>
      <c r="B53" s="126">
        <v>43594</v>
      </c>
      <c r="C53" s="127" t="s">
        <v>436</v>
      </c>
      <c r="D53" s="128">
        <v>4637.33</v>
      </c>
      <c r="F53" s="121"/>
      <c r="K53" s="129">
        <v>43602</v>
      </c>
      <c r="M53" s="124">
        <f t="shared" si="0"/>
        <v>43614</v>
      </c>
      <c r="N53" s="124">
        <v>43614</v>
      </c>
      <c r="O53" s="97">
        <f t="shared" si="1"/>
        <v>-12</v>
      </c>
      <c r="P53" s="97">
        <f t="shared" si="2"/>
        <v>0</v>
      </c>
      <c r="Q53" s="97">
        <f t="shared" si="3"/>
        <v>12</v>
      </c>
      <c r="R53" s="97">
        <f t="shared" si="4"/>
        <v>-18</v>
      </c>
      <c r="S53" s="2">
        <v>29</v>
      </c>
      <c r="T53" s="131">
        <f t="shared" si="5"/>
        <v>0</v>
      </c>
      <c r="U53" s="131">
        <f t="shared" si="6"/>
        <v>-83471.94</v>
      </c>
      <c r="V53" s="118">
        <f t="shared" si="7"/>
        <v>129</v>
      </c>
    </row>
    <row r="54" spans="1:22" ht="15">
      <c r="A54" s="125" t="s">
        <v>317</v>
      </c>
      <c r="B54" s="126">
        <v>43615</v>
      </c>
      <c r="C54" s="127" t="s">
        <v>437</v>
      </c>
      <c r="D54" s="128">
        <v>960</v>
      </c>
      <c r="F54" s="121"/>
      <c r="K54" s="129">
        <v>43616</v>
      </c>
      <c r="M54" s="124">
        <f t="shared" si="0"/>
        <v>43633</v>
      </c>
      <c r="N54" s="124">
        <v>43633</v>
      </c>
      <c r="O54" s="97">
        <f t="shared" si="1"/>
        <v>-17</v>
      </c>
      <c r="P54" s="97">
        <f t="shared" si="2"/>
        <v>0</v>
      </c>
      <c r="Q54" s="97">
        <f t="shared" si="3"/>
        <v>17</v>
      </c>
      <c r="R54" s="97">
        <f t="shared" si="4"/>
        <v>-13</v>
      </c>
      <c r="S54" s="2">
        <v>29</v>
      </c>
      <c r="T54" s="131">
        <f t="shared" si="5"/>
        <v>0</v>
      </c>
      <c r="U54" s="131">
        <f t="shared" si="6"/>
        <v>-12480</v>
      </c>
      <c r="V54" s="118">
        <f t="shared" si="7"/>
        <v>129</v>
      </c>
    </row>
    <row r="55" spans="1:22" ht="15">
      <c r="A55" s="125" t="s">
        <v>314</v>
      </c>
      <c r="B55" s="126">
        <v>43618</v>
      </c>
      <c r="C55" s="127" t="s">
        <v>440</v>
      </c>
      <c r="D55" s="128">
        <v>363</v>
      </c>
      <c r="F55" s="121"/>
      <c r="K55" s="129">
        <v>43636</v>
      </c>
      <c r="M55" s="124">
        <f t="shared" si="0"/>
        <v>43642</v>
      </c>
      <c r="N55" s="124">
        <v>43642</v>
      </c>
      <c r="O55" s="97">
        <f t="shared" si="1"/>
        <v>-6</v>
      </c>
      <c r="P55" s="97">
        <f t="shared" si="2"/>
        <v>0</v>
      </c>
      <c r="Q55" s="97">
        <f t="shared" si="3"/>
        <v>6</v>
      </c>
      <c r="R55" s="97">
        <f t="shared" si="4"/>
        <v>-24</v>
      </c>
      <c r="S55" s="2">
        <v>29</v>
      </c>
      <c r="T55" s="131">
        <f t="shared" si="5"/>
        <v>0</v>
      </c>
      <c r="U55" s="131">
        <f t="shared" si="6"/>
        <v>-8712</v>
      </c>
      <c r="V55" s="118">
        <f t="shared" si="7"/>
        <v>129</v>
      </c>
    </row>
    <row r="56" spans="1:22" ht="15">
      <c r="A56" s="125" t="s">
        <v>313</v>
      </c>
      <c r="B56" s="126">
        <v>43560</v>
      </c>
      <c r="C56" s="127" t="s">
        <v>441</v>
      </c>
      <c r="D56" s="128">
        <v>320.66</v>
      </c>
      <c r="F56" s="121"/>
      <c r="K56" s="129">
        <v>43592</v>
      </c>
      <c r="M56" s="124">
        <f t="shared" si="0"/>
        <v>43585</v>
      </c>
      <c r="N56" s="124">
        <v>43585</v>
      </c>
      <c r="O56" s="97">
        <f t="shared" si="1"/>
        <v>7</v>
      </c>
      <c r="P56" s="97">
        <f t="shared" si="2"/>
        <v>0</v>
      </c>
      <c r="Q56" s="97">
        <f t="shared" si="3"/>
        <v>-7</v>
      </c>
      <c r="R56" s="97">
        <f t="shared" si="4"/>
        <v>-37</v>
      </c>
      <c r="S56" s="2">
        <v>29</v>
      </c>
      <c r="T56" s="131">
        <f t="shared" si="5"/>
        <v>0</v>
      </c>
      <c r="U56" s="131">
        <f t="shared" si="6"/>
        <v>-11864.42</v>
      </c>
      <c r="V56" s="118">
        <f t="shared" si="7"/>
        <v>129</v>
      </c>
    </row>
    <row r="57" spans="1:22" ht="15">
      <c r="A57" s="125" t="s">
        <v>312</v>
      </c>
      <c r="B57" s="126">
        <v>43608</v>
      </c>
      <c r="C57" s="127" t="s">
        <v>442</v>
      </c>
      <c r="D57" s="128">
        <v>275.15</v>
      </c>
      <c r="F57" s="121"/>
      <c r="K57" s="129">
        <v>43608</v>
      </c>
      <c r="M57" s="124">
        <f t="shared" si="0"/>
        <v>43615</v>
      </c>
      <c r="N57" s="124">
        <v>43615</v>
      </c>
      <c r="O57" s="97">
        <f t="shared" si="1"/>
        <v>-7</v>
      </c>
      <c r="P57" s="97">
        <f t="shared" si="2"/>
        <v>0</v>
      </c>
      <c r="Q57" s="97">
        <f t="shared" si="3"/>
        <v>7</v>
      </c>
      <c r="R57" s="97">
        <f t="shared" si="4"/>
        <v>-23</v>
      </c>
      <c r="S57" s="2">
        <v>29</v>
      </c>
      <c r="T57" s="131">
        <f t="shared" si="5"/>
        <v>0</v>
      </c>
      <c r="U57" s="131">
        <f t="shared" si="6"/>
        <v>-6328.45</v>
      </c>
      <c r="V57" s="118">
        <f t="shared" si="7"/>
        <v>129</v>
      </c>
    </row>
    <row r="58" spans="1:22" ht="15">
      <c r="A58" s="125" t="s">
        <v>311</v>
      </c>
      <c r="B58" s="126">
        <v>43608</v>
      </c>
      <c r="C58" s="127" t="s">
        <v>443</v>
      </c>
      <c r="D58" s="128">
        <v>1534.98</v>
      </c>
      <c r="F58" s="121"/>
      <c r="K58" s="129">
        <v>43608</v>
      </c>
      <c r="M58" s="124">
        <f t="shared" si="0"/>
        <v>43615</v>
      </c>
      <c r="N58" s="124">
        <v>43615</v>
      </c>
      <c r="O58" s="97">
        <f t="shared" si="1"/>
        <v>-7</v>
      </c>
      <c r="P58" s="97">
        <f t="shared" si="2"/>
        <v>0</v>
      </c>
      <c r="Q58" s="97">
        <f t="shared" si="3"/>
        <v>7</v>
      </c>
      <c r="R58" s="97">
        <f t="shared" si="4"/>
        <v>-23</v>
      </c>
      <c r="S58" s="2">
        <v>29</v>
      </c>
      <c r="T58" s="131">
        <f t="shared" si="5"/>
        <v>0</v>
      </c>
      <c r="U58" s="131">
        <f t="shared" si="6"/>
        <v>-35304.54</v>
      </c>
      <c r="V58" s="118">
        <f t="shared" si="7"/>
        <v>129</v>
      </c>
    </row>
    <row r="59" spans="1:22" ht="15">
      <c r="A59" s="125" t="s">
        <v>310</v>
      </c>
      <c r="B59" s="126">
        <v>43578</v>
      </c>
      <c r="C59" s="127" t="s">
        <v>444</v>
      </c>
      <c r="D59" s="128">
        <v>1521.01</v>
      </c>
      <c r="F59" s="121"/>
      <c r="K59" s="129">
        <v>43578</v>
      </c>
      <c r="M59" s="124">
        <f t="shared" si="0"/>
        <v>43584</v>
      </c>
      <c r="N59" s="124">
        <v>43584</v>
      </c>
      <c r="O59" s="97">
        <f t="shared" si="1"/>
        <v>-6</v>
      </c>
      <c r="P59" s="97">
        <f t="shared" si="2"/>
        <v>0</v>
      </c>
      <c r="Q59" s="97">
        <f t="shared" si="3"/>
        <v>6</v>
      </c>
      <c r="R59" s="97">
        <f t="shared" si="4"/>
        <v>-24</v>
      </c>
      <c r="S59" s="2">
        <v>29</v>
      </c>
      <c r="T59" s="131">
        <f t="shared" si="5"/>
        <v>0</v>
      </c>
      <c r="U59" s="131">
        <f t="shared" si="6"/>
        <v>-36504.24</v>
      </c>
      <c r="V59" s="118">
        <f t="shared" si="7"/>
        <v>129</v>
      </c>
    </row>
    <row r="60" spans="1:22" ht="15">
      <c r="A60" s="125" t="s">
        <v>309</v>
      </c>
      <c r="B60" s="126">
        <v>43578</v>
      </c>
      <c r="C60" s="127" t="s">
        <v>445</v>
      </c>
      <c r="D60" s="128">
        <v>275.15</v>
      </c>
      <c r="F60" s="121"/>
      <c r="K60" s="129">
        <v>43578</v>
      </c>
      <c r="M60" s="124">
        <f t="shared" si="0"/>
        <v>43584</v>
      </c>
      <c r="N60" s="124">
        <v>43584</v>
      </c>
      <c r="O60" s="97">
        <f t="shared" si="1"/>
        <v>-6</v>
      </c>
      <c r="P60" s="97">
        <f t="shared" si="2"/>
        <v>0</v>
      </c>
      <c r="Q60" s="97">
        <f t="shared" si="3"/>
        <v>6</v>
      </c>
      <c r="R60" s="97">
        <f t="shared" si="4"/>
        <v>-24</v>
      </c>
      <c r="S60" s="2">
        <v>29</v>
      </c>
      <c r="T60" s="131">
        <f t="shared" si="5"/>
        <v>0</v>
      </c>
      <c r="U60" s="131">
        <f t="shared" si="6"/>
        <v>-6603.599999999999</v>
      </c>
      <c r="V60" s="118">
        <f t="shared" si="7"/>
        <v>129</v>
      </c>
    </row>
    <row r="61" spans="1:22" ht="15">
      <c r="A61" s="125" t="s">
        <v>308</v>
      </c>
      <c r="B61" s="126">
        <v>43639</v>
      </c>
      <c r="C61" s="127" t="s">
        <v>446</v>
      </c>
      <c r="D61" s="128">
        <v>78.97</v>
      </c>
      <c r="F61" s="121"/>
      <c r="K61" s="129">
        <v>43639</v>
      </c>
      <c r="M61" s="124">
        <f t="shared" si="0"/>
        <v>43643</v>
      </c>
      <c r="N61" s="124">
        <v>43643</v>
      </c>
      <c r="O61" s="97">
        <f t="shared" si="1"/>
        <v>-4</v>
      </c>
      <c r="P61" s="97">
        <f t="shared" si="2"/>
        <v>0</v>
      </c>
      <c r="Q61" s="97">
        <f t="shared" si="3"/>
        <v>4</v>
      </c>
      <c r="R61" s="97">
        <f t="shared" si="4"/>
        <v>-26</v>
      </c>
      <c r="S61" s="2">
        <v>29</v>
      </c>
      <c r="T61" s="131">
        <f t="shared" si="5"/>
        <v>0</v>
      </c>
      <c r="U61" s="131">
        <f t="shared" si="6"/>
        <v>-2053.22</v>
      </c>
      <c r="V61" s="118">
        <f t="shared" si="7"/>
        <v>129</v>
      </c>
    </row>
    <row r="62" spans="1:22" ht="15">
      <c r="A62" s="125" t="s">
        <v>307</v>
      </c>
      <c r="B62" s="126">
        <v>43639</v>
      </c>
      <c r="C62" s="127" t="s">
        <v>447</v>
      </c>
      <c r="D62" s="128">
        <v>2940.8</v>
      </c>
      <c r="F62" s="121"/>
      <c r="K62" s="129">
        <v>43639</v>
      </c>
      <c r="M62" s="124">
        <f t="shared" si="0"/>
        <v>43643</v>
      </c>
      <c r="N62" s="124">
        <v>43643</v>
      </c>
      <c r="O62" s="97">
        <f t="shared" si="1"/>
        <v>-4</v>
      </c>
      <c r="P62" s="97">
        <f t="shared" si="2"/>
        <v>0</v>
      </c>
      <c r="Q62" s="97">
        <f t="shared" si="3"/>
        <v>4</v>
      </c>
      <c r="R62" s="97">
        <f t="shared" si="4"/>
        <v>-26</v>
      </c>
      <c r="S62" s="2">
        <v>29</v>
      </c>
      <c r="T62" s="131">
        <f t="shared" si="5"/>
        <v>0</v>
      </c>
      <c r="U62" s="131">
        <f t="shared" si="6"/>
        <v>-76460.8</v>
      </c>
      <c r="V62" s="118">
        <f t="shared" si="7"/>
        <v>129</v>
      </c>
    </row>
    <row r="63" spans="1:22" ht="15">
      <c r="A63" s="125" t="s">
        <v>306</v>
      </c>
      <c r="B63" s="126">
        <v>43584</v>
      </c>
      <c r="C63" s="127" t="s">
        <v>448</v>
      </c>
      <c r="D63" s="128">
        <v>4573.8</v>
      </c>
      <c r="F63" s="121"/>
      <c r="K63" s="129">
        <v>43592</v>
      </c>
      <c r="M63" s="124">
        <f t="shared" si="0"/>
        <v>43614</v>
      </c>
      <c r="N63" s="124">
        <v>43614</v>
      </c>
      <c r="O63" s="97">
        <f t="shared" si="1"/>
        <v>-22</v>
      </c>
      <c r="P63" s="97">
        <f t="shared" si="2"/>
        <v>0</v>
      </c>
      <c r="Q63" s="97">
        <f t="shared" si="3"/>
        <v>22</v>
      </c>
      <c r="R63" s="97">
        <f t="shared" si="4"/>
        <v>-8</v>
      </c>
      <c r="S63" s="2">
        <v>69</v>
      </c>
      <c r="T63" s="131">
        <f t="shared" si="5"/>
        <v>0</v>
      </c>
      <c r="U63" s="131">
        <f t="shared" si="6"/>
        <v>-36590.4</v>
      </c>
      <c r="V63" s="118">
        <f t="shared" si="7"/>
        <v>169</v>
      </c>
    </row>
    <row r="64" spans="1:22" ht="15">
      <c r="A64" s="125" t="s">
        <v>304</v>
      </c>
      <c r="B64" s="126">
        <v>43556</v>
      </c>
      <c r="C64" s="127" t="s">
        <v>450</v>
      </c>
      <c r="D64" s="128">
        <v>17.11</v>
      </c>
      <c r="F64" s="121"/>
      <c r="K64" s="129">
        <v>43599</v>
      </c>
      <c r="M64" s="124">
        <f t="shared" si="0"/>
        <v>43600</v>
      </c>
      <c r="N64" s="124">
        <v>43600</v>
      </c>
      <c r="O64" s="97">
        <f t="shared" si="1"/>
        <v>-1</v>
      </c>
      <c r="P64" s="97">
        <f t="shared" si="2"/>
        <v>0</v>
      </c>
      <c r="Q64" s="97">
        <f t="shared" si="3"/>
        <v>1</v>
      </c>
      <c r="R64" s="97">
        <f t="shared" si="4"/>
        <v>-29</v>
      </c>
      <c r="S64" s="2">
        <v>22</v>
      </c>
      <c r="T64" s="131">
        <f t="shared" si="5"/>
        <v>0</v>
      </c>
      <c r="U64" s="131">
        <f t="shared" si="6"/>
        <v>-496.19</v>
      </c>
      <c r="V64" s="118">
        <f t="shared" si="7"/>
        <v>122</v>
      </c>
    </row>
    <row r="65" spans="1:22" ht="15">
      <c r="A65" s="125" t="s">
        <v>303</v>
      </c>
      <c r="B65" s="126">
        <v>43556</v>
      </c>
      <c r="C65" s="127" t="s">
        <v>451</v>
      </c>
      <c r="D65" s="128">
        <v>9.78</v>
      </c>
      <c r="F65" s="121"/>
      <c r="K65" s="129">
        <v>43599</v>
      </c>
      <c r="M65" s="124">
        <f t="shared" si="0"/>
        <v>43600</v>
      </c>
      <c r="N65" s="124">
        <v>43600</v>
      </c>
      <c r="O65" s="97">
        <f t="shared" si="1"/>
        <v>-1</v>
      </c>
      <c r="P65" s="97">
        <f t="shared" si="2"/>
        <v>0</v>
      </c>
      <c r="Q65" s="97">
        <f t="shared" si="3"/>
        <v>1</v>
      </c>
      <c r="R65" s="97">
        <f t="shared" si="4"/>
        <v>-29</v>
      </c>
      <c r="S65" s="2">
        <v>22</v>
      </c>
      <c r="T65" s="131">
        <f t="shared" si="5"/>
        <v>0</v>
      </c>
      <c r="U65" s="131">
        <f t="shared" si="6"/>
        <v>-283.62</v>
      </c>
      <c r="V65" s="118">
        <f t="shared" si="7"/>
        <v>122</v>
      </c>
    </row>
    <row r="66" spans="1:22" ht="15">
      <c r="A66" s="125" t="s">
        <v>302</v>
      </c>
      <c r="B66" s="126">
        <v>43615</v>
      </c>
      <c r="C66" s="127" t="s">
        <v>452</v>
      </c>
      <c r="D66" s="128">
        <v>17.11</v>
      </c>
      <c r="F66" s="121"/>
      <c r="K66" s="129">
        <v>43626</v>
      </c>
      <c r="M66" s="124">
        <f t="shared" si="0"/>
        <v>43633</v>
      </c>
      <c r="N66" s="124">
        <v>43633</v>
      </c>
      <c r="O66" s="97">
        <f t="shared" si="1"/>
        <v>-7</v>
      </c>
      <c r="P66" s="97">
        <f t="shared" si="2"/>
        <v>0</v>
      </c>
      <c r="Q66" s="97">
        <f t="shared" si="3"/>
        <v>7</v>
      </c>
      <c r="R66" s="97">
        <f t="shared" si="4"/>
        <v>-23</v>
      </c>
      <c r="S66" s="2">
        <v>22</v>
      </c>
      <c r="T66" s="131">
        <f t="shared" si="5"/>
        <v>0</v>
      </c>
      <c r="U66" s="131">
        <f t="shared" si="6"/>
        <v>-393.53</v>
      </c>
      <c r="V66" s="118">
        <f t="shared" si="7"/>
        <v>122</v>
      </c>
    </row>
    <row r="67" spans="1:22" ht="15">
      <c r="A67" s="125" t="s">
        <v>301</v>
      </c>
      <c r="B67" s="126">
        <v>43615</v>
      </c>
      <c r="C67" s="127" t="s">
        <v>453</v>
      </c>
      <c r="D67" s="128">
        <v>224.36</v>
      </c>
      <c r="F67" s="121"/>
      <c r="K67" s="129">
        <v>43629</v>
      </c>
      <c r="M67" s="124">
        <f t="shared" si="0"/>
        <v>43633</v>
      </c>
      <c r="N67" s="124">
        <v>43633</v>
      </c>
      <c r="O67" s="97">
        <f t="shared" si="1"/>
        <v>-4</v>
      </c>
      <c r="P67" s="97">
        <f t="shared" si="2"/>
        <v>0</v>
      </c>
      <c r="Q67" s="97">
        <f t="shared" si="3"/>
        <v>4</v>
      </c>
      <c r="R67" s="97">
        <f t="shared" si="4"/>
        <v>-26</v>
      </c>
      <c r="S67" s="2">
        <v>22</v>
      </c>
      <c r="T67" s="131">
        <f t="shared" si="5"/>
        <v>0</v>
      </c>
      <c r="U67" s="131">
        <f t="shared" si="6"/>
        <v>-5833.360000000001</v>
      </c>
      <c r="V67" s="118">
        <f t="shared" si="7"/>
        <v>122</v>
      </c>
    </row>
    <row r="68" spans="1:22" ht="15">
      <c r="A68" s="125" t="s">
        <v>300</v>
      </c>
      <c r="B68" s="126">
        <v>43615</v>
      </c>
      <c r="C68" s="127" t="s">
        <v>454</v>
      </c>
      <c r="D68" s="128">
        <v>101.65</v>
      </c>
      <c r="F68" s="121"/>
      <c r="K68" s="129">
        <v>43629</v>
      </c>
      <c r="M68" s="124">
        <f t="shared" si="0"/>
        <v>43633</v>
      </c>
      <c r="N68" s="124">
        <v>43633</v>
      </c>
      <c r="O68" s="97">
        <f t="shared" si="1"/>
        <v>-4</v>
      </c>
      <c r="P68" s="97">
        <f t="shared" si="2"/>
        <v>0</v>
      </c>
      <c r="Q68" s="97">
        <f t="shared" si="3"/>
        <v>4</v>
      </c>
      <c r="R68" s="97">
        <f t="shared" si="4"/>
        <v>-26</v>
      </c>
      <c r="S68" s="2">
        <v>22</v>
      </c>
      <c r="T68" s="131">
        <f t="shared" si="5"/>
        <v>0</v>
      </c>
      <c r="U68" s="131">
        <f t="shared" si="6"/>
        <v>-2642.9</v>
      </c>
      <c r="V68" s="118">
        <f t="shared" si="7"/>
        <v>122</v>
      </c>
    </row>
    <row r="69" spans="1:22" ht="15">
      <c r="A69" s="125" t="s">
        <v>298</v>
      </c>
      <c r="B69" s="126">
        <v>43616</v>
      </c>
      <c r="C69" s="127" t="s">
        <v>456</v>
      </c>
      <c r="D69" s="128">
        <v>375</v>
      </c>
      <c r="F69" s="121"/>
      <c r="K69" s="129">
        <v>43616</v>
      </c>
      <c r="M69" s="124">
        <f t="shared" si="0"/>
        <v>43633</v>
      </c>
      <c r="N69" s="122">
        <v>43633</v>
      </c>
      <c r="O69" s="97">
        <f t="shared" si="1"/>
        <v>-17</v>
      </c>
      <c r="P69" s="97">
        <f t="shared" si="2"/>
        <v>0</v>
      </c>
      <c r="Q69" s="97">
        <f t="shared" si="3"/>
        <v>17</v>
      </c>
      <c r="R69" s="97">
        <f t="shared" si="4"/>
        <v>-13</v>
      </c>
      <c r="S69" s="2">
        <v>29</v>
      </c>
      <c r="T69" s="131">
        <f t="shared" si="5"/>
        <v>0</v>
      </c>
      <c r="U69" s="131">
        <f t="shared" si="6"/>
        <v>-4875</v>
      </c>
      <c r="V69" s="118">
        <f t="shared" si="7"/>
        <v>129</v>
      </c>
    </row>
    <row r="70" spans="1:22" ht="15">
      <c r="A70" s="125" t="s">
        <v>296</v>
      </c>
      <c r="B70" s="126">
        <v>43615</v>
      </c>
      <c r="C70" s="127" t="s">
        <v>458</v>
      </c>
      <c r="D70" s="128">
        <v>879.96</v>
      </c>
      <c r="F70" s="121"/>
      <c r="K70" s="129">
        <v>43620</v>
      </c>
      <c r="M70" s="124">
        <f aca="true" t="shared" si="8" ref="M70:M133">+N70</f>
        <v>43633</v>
      </c>
      <c r="N70" s="122">
        <v>43633</v>
      </c>
      <c r="O70" s="97">
        <f aca="true" t="shared" si="9" ref="O70:O133">+K70-M70</f>
        <v>-13</v>
      </c>
      <c r="P70" s="97">
        <f aca="true" t="shared" si="10" ref="P70:P133">+N70-M70</f>
        <v>0</v>
      </c>
      <c r="Q70" s="97">
        <f aca="true" t="shared" si="11" ref="Q70:Q133">+N70-K70</f>
        <v>13</v>
      </c>
      <c r="R70" s="97">
        <f aca="true" t="shared" si="12" ref="R70:R133">+Q70-30</f>
        <v>-17</v>
      </c>
      <c r="S70" s="2">
        <v>29</v>
      </c>
      <c r="T70" s="131">
        <f aca="true" t="shared" si="13" ref="T70:T133">+P70*D70</f>
        <v>0</v>
      </c>
      <c r="U70" s="131">
        <f aca="true" t="shared" si="14" ref="U70:U133">+R70*D70</f>
        <v>-14959.32</v>
      </c>
      <c r="V70" s="118">
        <f aca="true" t="shared" si="15" ref="V70:V133">IF(P70&gt;30,200+S70,100+S70)</f>
        <v>129</v>
      </c>
    </row>
    <row r="71" spans="1:22" ht="15">
      <c r="A71" s="125" t="s">
        <v>294</v>
      </c>
      <c r="B71" s="126">
        <v>43559</v>
      </c>
      <c r="C71" s="127" t="s">
        <v>460</v>
      </c>
      <c r="D71" s="128">
        <v>170.61</v>
      </c>
      <c r="F71" s="121"/>
      <c r="K71" s="129">
        <v>43565</v>
      </c>
      <c r="M71" s="124">
        <f t="shared" si="8"/>
        <v>43570</v>
      </c>
      <c r="N71" s="122">
        <v>43570</v>
      </c>
      <c r="O71" s="97">
        <f t="shared" si="9"/>
        <v>-5</v>
      </c>
      <c r="P71" s="97">
        <f t="shared" si="10"/>
        <v>0</v>
      </c>
      <c r="Q71" s="97">
        <f t="shared" si="11"/>
        <v>5</v>
      </c>
      <c r="R71" s="97">
        <f t="shared" si="12"/>
        <v>-25</v>
      </c>
      <c r="S71" s="2">
        <v>21</v>
      </c>
      <c r="T71" s="131">
        <f t="shared" si="13"/>
        <v>0</v>
      </c>
      <c r="U71" s="131">
        <f t="shared" si="14"/>
        <v>-4265.25</v>
      </c>
      <c r="V71" s="118">
        <f t="shared" si="15"/>
        <v>121</v>
      </c>
    </row>
    <row r="72" spans="1:22" ht="15">
      <c r="A72" s="125" t="s">
        <v>293</v>
      </c>
      <c r="B72" s="126">
        <v>43570</v>
      </c>
      <c r="C72" s="127" t="s">
        <v>461</v>
      </c>
      <c r="D72" s="128">
        <v>158.13</v>
      </c>
      <c r="F72" s="121"/>
      <c r="K72" s="129">
        <v>43619</v>
      </c>
      <c r="M72" s="124">
        <f t="shared" si="8"/>
        <v>43633</v>
      </c>
      <c r="N72" s="122">
        <v>43633</v>
      </c>
      <c r="O72" s="97">
        <f t="shared" si="9"/>
        <v>-14</v>
      </c>
      <c r="P72" s="97">
        <f t="shared" si="10"/>
        <v>0</v>
      </c>
      <c r="Q72" s="97">
        <f t="shared" si="11"/>
        <v>14</v>
      </c>
      <c r="R72" s="97">
        <f t="shared" si="12"/>
        <v>-16</v>
      </c>
      <c r="S72" s="2">
        <v>21</v>
      </c>
      <c r="T72" s="131">
        <f t="shared" si="13"/>
        <v>0</v>
      </c>
      <c r="U72" s="131">
        <f t="shared" si="14"/>
        <v>-2530.08</v>
      </c>
      <c r="V72" s="118">
        <f t="shared" si="15"/>
        <v>121</v>
      </c>
    </row>
    <row r="73" spans="1:22" ht="15">
      <c r="A73" s="125" t="s">
        <v>292</v>
      </c>
      <c r="B73" s="126">
        <v>43585</v>
      </c>
      <c r="C73" s="127" t="s">
        <v>462</v>
      </c>
      <c r="D73" s="128">
        <v>83.49</v>
      </c>
      <c r="F73" s="121"/>
      <c r="K73" s="129">
        <v>43619</v>
      </c>
      <c r="M73" s="124">
        <f t="shared" si="8"/>
        <v>43633</v>
      </c>
      <c r="N73" s="122">
        <v>43633</v>
      </c>
      <c r="O73" s="97">
        <f t="shared" si="9"/>
        <v>-14</v>
      </c>
      <c r="P73" s="97">
        <f t="shared" si="10"/>
        <v>0</v>
      </c>
      <c r="Q73" s="97">
        <f t="shared" si="11"/>
        <v>14</v>
      </c>
      <c r="R73" s="97">
        <f t="shared" si="12"/>
        <v>-16</v>
      </c>
      <c r="S73" s="2">
        <v>21</v>
      </c>
      <c r="T73" s="131">
        <f t="shared" si="13"/>
        <v>0</v>
      </c>
      <c r="U73" s="131">
        <f t="shared" si="14"/>
        <v>-1335.84</v>
      </c>
      <c r="V73" s="118">
        <f t="shared" si="15"/>
        <v>121</v>
      </c>
    </row>
    <row r="74" spans="1:22" ht="15">
      <c r="A74" s="125" t="s">
        <v>291</v>
      </c>
      <c r="B74" s="126">
        <v>43606</v>
      </c>
      <c r="C74" s="127" t="s">
        <v>463</v>
      </c>
      <c r="D74" s="128">
        <v>158.13</v>
      </c>
      <c r="F74" s="121"/>
      <c r="K74" s="129">
        <v>43633</v>
      </c>
      <c r="M74" s="124">
        <f t="shared" si="8"/>
        <v>43633</v>
      </c>
      <c r="N74" s="122">
        <v>43633</v>
      </c>
      <c r="O74" s="97">
        <f t="shared" si="9"/>
        <v>0</v>
      </c>
      <c r="P74" s="97">
        <f t="shared" si="10"/>
        <v>0</v>
      </c>
      <c r="Q74" s="97">
        <f t="shared" si="11"/>
        <v>0</v>
      </c>
      <c r="R74" s="97">
        <f t="shared" si="12"/>
        <v>-30</v>
      </c>
      <c r="S74" s="2">
        <v>21</v>
      </c>
      <c r="T74" s="131">
        <f t="shared" si="13"/>
        <v>0</v>
      </c>
      <c r="U74" s="131">
        <f t="shared" si="14"/>
        <v>-4743.9</v>
      </c>
      <c r="V74" s="118">
        <f t="shared" si="15"/>
        <v>121</v>
      </c>
    </row>
    <row r="75" spans="1:22" ht="15">
      <c r="A75" s="125" t="s">
        <v>289</v>
      </c>
      <c r="B75" s="126">
        <v>43599</v>
      </c>
      <c r="C75" s="127" t="s">
        <v>465</v>
      </c>
      <c r="D75" s="128">
        <v>27</v>
      </c>
      <c r="F75" s="121"/>
      <c r="K75" s="129">
        <v>43616</v>
      </c>
      <c r="M75" s="124">
        <f t="shared" si="8"/>
        <v>43602</v>
      </c>
      <c r="N75" s="122">
        <v>43602</v>
      </c>
      <c r="O75" s="97">
        <f t="shared" si="9"/>
        <v>14</v>
      </c>
      <c r="P75" s="97">
        <f t="shared" si="10"/>
        <v>0</v>
      </c>
      <c r="Q75" s="97">
        <f t="shared" si="11"/>
        <v>-14</v>
      </c>
      <c r="R75" s="97">
        <f t="shared" si="12"/>
        <v>-44</v>
      </c>
      <c r="S75" s="2">
        <v>29</v>
      </c>
      <c r="T75" s="131">
        <f t="shared" si="13"/>
        <v>0</v>
      </c>
      <c r="U75" s="131">
        <f t="shared" si="14"/>
        <v>-1188</v>
      </c>
      <c r="V75" s="118">
        <f t="shared" si="15"/>
        <v>129</v>
      </c>
    </row>
    <row r="76" spans="1:22" ht="15">
      <c r="A76" s="125" t="s">
        <v>288</v>
      </c>
      <c r="B76" s="126">
        <v>43571</v>
      </c>
      <c r="C76" s="127" t="s">
        <v>466</v>
      </c>
      <c r="D76" s="128">
        <v>32.43</v>
      </c>
      <c r="F76" s="121"/>
      <c r="K76" s="129">
        <v>43578</v>
      </c>
      <c r="M76" s="124">
        <f t="shared" si="8"/>
        <v>43584</v>
      </c>
      <c r="N76" s="122">
        <v>43584</v>
      </c>
      <c r="O76" s="97">
        <f t="shared" si="9"/>
        <v>-6</v>
      </c>
      <c r="P76" s="97">
        <f t="shared" si="10"/>
        <v>0</v>
      </c>
      <c r="Q76" s="97">
        <f t="shared" si="11"/>
        <v>6</v>
      </c>
      <c r="R76" s="97">
        <f t="shared" si="12"/>
        <v>-24</v>
      </c>
      <c r="S76" s="2">
        <v>22</v>
      </c>
      <c r="T76" s="131">
        <f t="shared" si="13"/>
        <v>0</v>
      </c>
      <c r="U76" s="131">
        <f t="shared" si="14"/>
        <v>-778.3199999999999</v>
      </c>
      <c r="V76" s="118">
        <f t="shared" si="15"/>
        <v>122</v>
      </c>
    </row>
    <row r="77" spans="1:22" ht="15">
      <c r="A77" s="125" t="s">
        <v>287</v>
      </c>
      <c r="B77" s="126">
        <v>43572</v>
      </c>
      <c r="C77" s="127" t="s">
        <v>467</v>
      </c>
      <c r="D77" s="128">
        <v>22.14</v>
      </c>
      <c r="F77" s="121"/>
      <c r="K77" s="129">
        <v>43594</v>
      </c>
      <c r="M77" s="124">
        <f t="shared" si="8"/>
        <v>43600</v>
      </c>
      <c r="N77" s="122">
        <v>43600</v>
      </c>
      <c r="O77" s="97">
        <f t="shared" si="9"/>
        <v>-6</v>
      </c>
      <c r="P77" s="97">
        <f t="shared" si="10"/>
        <v>0</v>
      </c>
      <c r="Q77" s="97">
        <f t="shared" si="11"/>
        <v>6</v>
      </c>
      <c r="R77" s="97">
        <f t="shared" si="12"/>
        <v>-24</v>
      </c>
      <c r="S77" s="2">
        <v>22</v>
      </c>
      <c r="T77" s="131">
        <f t="shared" si="13"/>
        <v>0</v>
      </c>
      <c r="U77" s="131">
        <f t="shared" si="14"/>
        <v>-531.36</v>
      </c>
      <c r="V77" s="118">
        <f t="shared" si="15"/>
        <v>122</v>
      </c>
    </row>
    <row r="78" spans="1:22" ht="15">
      <c r="A78" s="125" t="s">
        <v>286</v>
      </c>
      <c r="B78" s="126">
        <v>43588</v>
      </c>
      <c r="C78" s="127" t="s">
        <v>468</v>
      </c>
      <c r="D78" s="128">
        <v>2.72</v>
      </c>
      <c r="F78" s="121"/>
      <c r="K78" s="129">
        <v>43599</v>
      </c>
      <c r="M78" s="124">
        <f t="shared" si="8"/>
        <v>43600</v>
      </c>
      <c r="N78" s="122">
        <v>43600</v>
      </c>
      <c r="O78" s="97">
        <f t="shared" si="9"/>
        <v>-1</v>
      </c>
      <c r="P78" s="97">
        <f t="shared" si="10"/>
        <v>0</v>
      </c>
      <c r="Q78" s="97">
        <f t="shared" si="11"/>
        <v>1</v>
      </c>
      <c r="R78" s="97">
        <f t="shared" si="12"/>
        <v>-29</v>
      </c>
      <c r="S78" s="2">
        <v>22</v>
      </c>
      <c r="T78" s="131">
        <f t="shared" si="13"/>
        <v>0</v>
      </c>
      <c r="U78" s="131">
        <f t="shared" si="14"/>
        <v>-78.88000000000001</v>
      </c>
      <c r="V78" s="118">
        <f t="shared" si="15"/>
        <v>122</v>
      </c>
    </row>
    <row r="79" spans="1:22" ht="15">
      <c r="A79" s="125" t="s">
        <v>285</v>
      </c>
      <c r="B79" s="126">
        <v>43599</v>
      </c>
      <c r="C79" s="127" t="s">
        <v>469</v>
      </c>
      <c r="D79" s="128">
        <v>11.37</v>
      </c>
      <c r="F79" s="121"/>
      <c r="K79" s="129">
        <v>43601</v>
      </c>
      <c r="M79" s="124">
        <f t="shared" si="8"/>
        <v>43614</v>
      </c>
      <c r="N79" s="122">
        <v>43614</v>
      </c>
      <c r="O79" s="97">
        <f t="shared" si="9"/>
        <v>-13</v>
      </c>
      <c r="P79" s="97">
        <f t="shared" si="10"/>
        <v>0</v>
      </c>
      <c r="Q79" s="97">
        <f t="shared" si="11"/>
        <v>13</v>
      </c>
      <c r="R79" s="97">
        <f t="shared" si="12"/>
        <v>-17</v>
      </c>
      <c r="S79" s="2">
        <v>22</v>
      </c>
      <c r="T79" s="131">
        <f t="shared" si="13"/>
        <v>0</v>
      </c>
      <c r="U79" s="131">
        <f t="shared" si="14"/>
        <v>-193.29</v>
      </c>
      <c r="V79" s="118">
        <f t="shared" si="15"/>
        <v>122</v>
      </c>
    </row>
    <row r="80" spans="1:22" ht="15">
      <c r="A80" s="125" t="s">
        <v>284</v>
      </c>
      <c r="B80" s="126">
        <v>43623</v>
      </c>
      <c r="C80" s="127" t="s">
        <v>470</v>
      </c>
      <c r="D80" s="128">
        <v>2.71</v>
      </c>
      <c r="F80" s="121"/>
      <c r="K80" s="129">
        <v>43626</v>
      </c>
      <c r="M80" s="124">
        <f t="shared" si="8"/>
        <v>43633</v>
      </c>
      <c r="N80" s="122">
        <v>43633</v>
      </c>
      <c r="O80" s="97">
        <f t="shared" si="9"/>
        <v>-7</v>
      </c>
      <c r="P80" s="97">
        <f t="shared" si="10"/>
        <v>0</v>
      </c>
      <c r="Q80" s="97">
        <f t="shared" si="11"/>
        <v>7</v>
      </c>
      <c r="R80" s="97">
        <f t="shared" si="12"/>
        <v>-23</v>
      </c>
      <c r="S80" s="2">
        <v>22</v>
      </c>
      <c r="T80" s="131">
        <f t="shared" si="13"/>
        <v>0</v>
      </c>
      <c r="U80" s="131">
        <f t="shared" si="14"/>
        <v>-62.33</v>
      </c>
      <c r="V80" s="118">
        <f t="shared" si="15"/>
        <v>122</v>
      </c>
    </row>
    <row r="81" spans="1:22" ht="15">
      <c r="A81" s="125" t="s">
        <v>282</v>
      </c>
      <c r="B81" s="126">
        <v>43585</v>
      </c>
      <c r="C81" s="127" t="s">
        <v>472</v>
      </c>
      <c r="D81" s="128">
        <v>655.41</v>
      </c>
      <c r="F81" s="121"/>
      <c r="K81" s="129">
        <v>43587</v>
      </c>
      <c r="M81" s="124">
        <f t="shared" si="8"/>
        <v>43600</v>
      </c>
      <c r="N81" s="122">
        <v>43600</v>
      </c>
      <c r="O81" s="97">
        <f t="shared" si="9"/>
        <v>-13</v>
      </c>
      <c r="P81" s="97">
        <f t="shared" si="10"/>
        <v>0</v>
      </c>
      <c r="Q81" s="97">
        <f t="shared" si="11"/>
        <v>13</v>
      </c>
      <c r="R81" s="97">
        <f t="shared" si="12"/>
        <v>-17</v>
      </c>
      <c r="S81" s="2">
        <v>29</v>
      </c>
      <c r="T81" s="131">
        <f t="shared" si="13"/>
        <v>0</v>
      </c>
      <c r="U81" s="131">
        <f t="shared" si="14"/>
        <v>-11141.97</v>
      </c>
      <c r="V81" s="118">
        <f t="shared" si="15"/>
        <v>129</v>
      </c>
    </row>
    <row r="82" spans="1:22" ht="15">
      <c r="A82" s="125" t="s">
        <v>281</v>
      </c>
      <c r="B82" s="126">
        <v>43607</v>
      </c>
      <c r="C82" s="127" t="s">
        <v>473</v>
      </c>
      <c r="D82" s="128">
        <v>1883.73</v>
      </c>
      <c r="F82" s="121"/>
      <c r="K82" s="129">
        <v>43608</v>
      </c>
      <c r="M82" s="124">
        <f t="shared" si="8"/>
        <v>43614</v>
      </c>
      <c r="N82" s="122">
        <v>43614</v>
      </c>
      <c r="O82" s="97">
        <f t="shared" si="9"/>
        <v>-6</v>
      </c>
      <c r="P82" s="97">
        <f t="shared" si="10"/>
        <v>0</v>
      </c>
      <c r="Q82" s="97">
        <f t="shared" si="11"/>
        <v>6</v>
      </c>
      <c r="R82" s="97">
        <f t="shared" si="12"/>
        <v>-24</v>
      </c>
      <c r="S82" s="2">
        <v>29</v>
      </c>
      <c r="T82" s="131">
        <f t="shared" si="13"/>
        <v>0</v>
      </c>
      <c r="U82" s="131">
        <f t="shared" si="14"/>
        <v>-45209.520000000004</v>
      </c>
      <c r="V82" s="118">
        <f t="shared" si="15"/>
        <v>129</v>
      </c>
    </row>
    <row r="83" spans="1:22" ht="15">
      <c r="A83" s="125" t="s">
        <v>280</v>
      </c>
      <c r="B83" s="126">
        <v>43607</v>
      </c>
      <c r="C83" s="127" t="s">
        <v>474</v>
      </c>
      <c r="D83" s="128">
        <v>1074.48</v>
      </c>
      <c r="F83" s="121"/>
      <c r="K83" s="129">
        <v>43608</v>
      </c>
      <c r="M83" s="124">
        <f t="shared" si="8"/>
        <v>43614</v>
      </c>
      <c r="N83" s="122">
        <v>43614</v>
      </c>
      <c r="O83" s="97">
        <f t="shared" si="9"/>
        <v>-6</v>
      </c>
      <c r="P83" s="97">
        <f t="shared" si="10"/>
        <v>0</v>
      </c>
      <c r="Q83" s="97">
        <f t="shared" si="11"/>
        <v>6</v>
      </c>
      <c r="R83" s="97">
        <f t="shared" si="12"/>
        <v>-24</v>
      </c>
      <c r="S83" s="2">
        <v>29</v>
      </c>
      <c r="T83" s="131">
        <f t="shared" si="13"/>
        <v>0</v>
      </c>
      <c r="U83" s="131">
        <f t="shared" si="14"/>
        <v>-25787.52</v>
      </c>
      <c r="V83" s="118">
        <f t="shared" si="15"/>
        <v>129</v>
      </c>
    </row>
    <row r="84" spans="1:22" ht="15">
      <c r="A84" s="125" t="s">
        <v>277</v>
      </c>
      <c r="B84" s="126">
        <v>43580</v>
      </c>
      <c r="C84" s="127" t="s">
        <v>477</v>
      </c>
      <c r="D84" s="128">
        <v>44.17</v>
      </c>
      <c r="F84" s="121"/>
      <c r="K84" s="129">
        <v>43584</v>
      </c>
      <c r="M84" s="124">
        <f t="shared" si="8"/>
        <v>43584</v>
      </c>
      <c r="N84" s="122">
        <v>43584</v>
      </c>
      <c r="O84" s="97">
        <f t="shared" si="9"/>
        <v>0</v>
      </c>
      <c r="P84" s="97">
        <f t="shared" si="10"/>
        <v>0</v>
      </c>
      <c r="Q84" s="97">
        <f t="shared" si="11"/>
        <v>0</v>
      </c>
      <c r="R84" s="97">
        <f t="shared" si="12"/>
        <v>-30</v>
      </c>
      <c r="S84" s="2">
        <v>21</v>
      </c>
      <c r="T84" s="131">
        <f t="shared" si="13"/>
        <v>0</v>
      </c>
      <c r="U84" s="131">
        <f t="shared" si="14"/>
        <v>-1325.1000000000001</v>
      </c>
      <c r="V84" s="118">
        <f t="shared" si="15"/>
        <v>121</v>
      </c>
    </row>
    <row r="85" spans="1:22" ht="15">
      <c r="A85" s="125" t="s">
        <v>276</v>
      </c>
      <c r="B85" s="126">
        <v>43580</v>
      </c>
      <c r="C85" s="127" t="s">
        <v>478</v>
      </c>
      <c r="D85" s="128">
        <v>665.5</v>
      </c>
      <c r="F85" s="121"/>
      <c r="K85" s="129">
        <v>43584</v>
      </c>
      <c r="M85" s="124">
        <f t="shared" si="8"/>
        <v>43584</v>
      </c>
      <c r="N85" s="122">
        <v>43584</v>
      </c>
      <c r="O85" s="97">
        <f t="shared" si="9"/>
        <v>0</v>
      </c>
      <c r="P85" s="97">
        <f t="shared" si="10"/>
        <v>0</v>
      </c>
      <c r="Q85" s="97">
        <f t="shared" si="11"/>
        <v>0</v>
      </c>
      <c r="R85" s="97">
        <f t="shared" si="12"/>
        <v>-30</v>
      </c>
      <c r="S85" s="2">
        <v>21</v>
      </c>
      <c r="T85" s="131">
        <f t="shared" si="13"/>
        <v>0</v>
      </c>
      <c r="U85" s="131">
        <f t="shared" si="14"/>
        <v>-19965</v>
      </c>
      <c r="V85" s="118">
        <f t="shared" si="15"/>
        <v>121</v>
      </c>
    </row>
    <row r="86" spans="1:22" ht="15">
      <c r="A86" s="125" t="s">
        <v>275</v>
      </c>
      <c r="B86" s="126">
        <v>43584</v>
      </c>
      <c r="C86" s="127" t="s">
        <v>479</v>
      </c>
      <c r="D86" s="128">
        <v>601.03</v>
      </c>
      <c r="F86" s="121"/>
      <c r="K86" s="129">
        <v>43593</v>
      </c>
      <c r="M86" s="124">
        <f t="shared" si="8"/>
        <v>43601</v>
      </c>
      <c r="N86" s="122">
        <v>43601</v>
      </c>
      <c r="O86" s="97">
        <f t="shared" si="9"/>
        <v>-8</v>
      </c>
      <c r="P86" s="97">
        <f t="shared" si="10"/>
        <v>0</v>
      </c>
      <c r="Q86" s="97">
        <f t="shared" si="11"/>
        <v>8</v>
      </c>
      <c r="R86" s="97">
        <f t="shared" si="12"/>
        <v>-22</v>
      </c>
      <c r="S86" s="2">
        <v>29</v>
      </c>
      <c r="T86" s="131">
        <f t="shared" si="13"/>
        <v>0</v>
      </c>
      <c r="U86" s="131">
        <f t="shared" si="14"/>
        <v>-13222.66</v>
      </c>
      <c r="V86" s="118">
        <f t="shared" si="15"/>
        <v>129</v>
      </c>
    </row>
    <row r="87" spans="1:22" ht="15">
      <c r="A87" s="125" t="s">
        <v>274</v>
      </c>
      <c r="B87" s="126">
        <v>43584</v>
      </c>
      <c r="C87" s="127" t="s">
        <v>480</v>
      </c>
      <c r="D87" s="128">
        <v>531.95</v>
      </c>
      <c r="F87" s="121"/>
      <c r="K87" s="129">
        <v>43593</v>
      </c>
      <c r="M87" s="124">
        <f t="shared" si="8"/>
        <v>43601</v>
      </c>
      <c r="N87" s="122">
        <v>43601</v>
      </c>
      <c r="O87" s="97">
        <f t="shared" si="9"/>
        <v>-8</v>
      </c>
      <c r="P87" s="97">
        <f t="shared" si="10"/>
        <v>0</v>
      </c>
      <c r="Q87" s="97">
        <f t="shared" si="11"/>
        <v>8</v>
      </c>
      <c r="R87" s="97">
        <f t="shared" si="12"/>
        <v>-22</v>
      </c>
      <c r="S87" s="2">
        <v>29</v>
      </c>
      <c r="T87" s="131">
        <f t="shared" si="13"/>
        <v>0</v>
      </c>
      <c r="U87" s="131">
        <f t="shared" si="14"/>
        <v>-11702.900000000001</v>
      </c>
      <c r="V87" s="118">
        <f t="shared" si="15"/>
        <v>129</v>
      </c>
    </row>
    <row r="88" spans="1:22" ht="15">
      <c r="A88" s="125" t="s">
        <v>273</v>
      </c>
      <c r="B88" s="126">
        <v>43584</v>
      </c>
      <c r="C88" s="127" t="s">
        <v>481</v>
      </c>
      <c r="D88" s="128">
        <v>357.46</v>
      </c>
      <c r="F88" s="121"/>
      <c r="K88" s="129">
        <v>43593</v>
      </c>
      <c r="M88" s="124">
        <f t="shared" si="8"/>
        <v>43601</v>
      </c>
      <c r="N88" s="122">
        <v>43601</v>
      </c>
      <c r="O88" s="97">
        <f t="shared" si="9"/>
        <v>-8</v>
      </c>
      <c r="P88" s="97">
        <f t="shared" si="10"/>
        <v>0</v>
      </c>
      <c r="Q88" s="97">
        <f t="shared" si="11"/>
        <v>8</v>
      </c>
      <c r="R88" s="97">
        <f t="shared" si="12"/>
        <v>-22</v>
      </c>
      <c r="S88" s="2">
        <v>29</v>
      </c>
      <c r="T88" s="131">
        <f t="shared" si="13"/>
        <v>0</v>
      </c>
      <c r="U88" s="131">
        <f t="shared" si="14"/>
        <v>-7864.12</v>
      </c>
      <c r="V88" s="118">
        <f t="shared" si="15"/>
        <v>129</v>
      </c>
    </row>
    <row r="89" spans="1:22" ht="15">
      <c r="A89" s="125" t="s">
        <v>272</v>
      </c>
      <c r="B89" s="126">
        <v>43584</v>
      </c>
      <c r="C89" s="127" t="s">
        <v>482</v>
      </c>
      <c r="D89" s="128">
        <v>452.3</v>
      </c>
      <c r="F89" s="121"/>
      <c r="K89" s="129">
        <v>43607</v>
      </c>
      <c r="M89" s="124">
        <f t="shared" si="8"/>
        <v>43601</v>
      </c>
      <c r="N89" s="122">
        <v>43601</v>
      </c>
      <c r="O89" s="97">
        <f t="shared" si="9"/>
        <v>6</v>
      </c>
      <c r="P89" s="97">
        <f t="shared" si="10"/>
        <v>0</v>
      </c>
      <c r="Q89" s="97">
        <f t="shared" si="11"/>
        <v>-6</v>
      </c>
      <c r="R89" s="97">
        <f t="shared" si="12"/>
        <v>-36</v>
      </c>
      <c r="S89" s="2">
        <v>29</v>
      </c>
      <c r="T89" s="131">
        <f t="shared" si="13"/>
        <v>0</v>
      </c>
      <c r="U89" s="131">
        <f t="shared" si="14"/>
        <v>-16282.800000000001</v>
      </c>
      <c r="V89" s="118">
        <f t="shared" si="15"/>
        <v>129</v>
      </c>
    </row>
    <row r="90" spans="1:22" ht="15">
      <c r="A90" s="125" t="s">
        <v>271</v>
      </c>
      <c r="B90" s="126">
        <v>43584</v>
      </c>
      <c r="C90" s="127" t="s">
        <v>483</v>
      </c>
      <c r="D90" s="128">
        <v>-14.54</v>
      </c>
      <c r="F90" s="121"/>
      <c r="K90" s="129">
        <v>43607</v>
      </c>
      <c r="M90" s="124">
        <f t="shared" si="8"/>
        <v>43601</v>
      </c>
      <c r="N90" s="122">
        <v>43601</v>
      </c>
      <c r="O90" s="97">
        <f t="shared" si="9"/>
        <v>6</v>
      </c>
      <c r="P90" s="97">
        <f t="shared" si="10"/>
        <v>0</v>
      </c>
      <c r="Q90" s="97">
        <f t="shared" si="11"/>
        <v>-6</v>
      </c>
      <c r="R90" s="97">
        <f t="shared" si="12"/>
        <v>-36</v>
      </c>
      <c r="S90" s="2">
        <v>29</v>
      </c>
      <c r="T90" s="131">
        <f t="shared" si="13"/>
        <v>0</v>
      </c>
      <c r="U90" s="131">
        <f t="shared" si="14"/>
        <v>523.4399999999999</v>
      </c>
      <c r="V90" s="118">
        <f t="shared" si="15"/>
        <v>129</v>
      </c>
    </row>
    <row r="91" spans="1:22" ht="15">
      <c r="A91" s="125" t="s">
        <v>270</v>
      </c>
      <c r="B91" s="126">
        <v>43584</v>
      </c>
      <c r="C91" s="127" t="s">
        <v>484</v>
      </c>
      <c r="D91" s="128">
        <v>21.54</v>
      </c>
      <c r="F91" s="121"/>
      <c r="K91" s="129">
        <v>43584</v>
      </c>
      <c r="M91" s="124">
        <f t="shared" si="8"/>
        <v>43601</v>
      </c>
      <c r="N91" s="122">
        <v>43601</v>
      </c>
      <c r="O91" s="97">
        <f t="shared" si="9"/>
        <v>-17</v>
      </c>
      <c r="P91" s="97">
        <f t="shared" si="10"/>
        <v>0</v>
      </c>
      <c r="Q91" s="97">
        <f t="shared" si="11"/>
        <v>17</v>
      </c>
      <c r="R91" s="97">
        <f t="shared" si="12"/>
        <v>-13</v>
      </c>
      <c r="S91" s="2">
        <v>29</v>
      </c>
      <c r="T91" s="131">
        <f t="shared" si="13"/>
        <v>0</v>
      </c>
      <c r="U91" s="131">
        <f t="shared" si="14"/>
        <v>-280.02</v>
      </c>
      <c r="V91" s="118">
        <f t="shared" si="15"/>
        <v>129</v>
      </c>
    </row>
    <row r="92" spans="1:22" ht="15">
      <c r="A92" s="125" t="s">
        <v>269</v>
      </c>
      <c r="B92" s="126">
        <v>43584</v>
      </c>
      <c r="C92" s="127" t="s">
        <v>485</v>
      </c>
      <c r="D92" s="128">
        <v>21.01</v>
      </c>
      <c r="F92" s="121"/>
      <c r="K92" s="129">
        <v>43584</v>
      </c>
      <c r="M92" s="124">
        <f t="shared" si="8"/>
        <v>43601</v>
      </c>
      <c r="N92" s="122">
        <v>43601</v>
      </c>
      <c r="O92" s="97">
        <f t="shared" si="9"/>
        <v>-17</v>
      </c>
      <c r="P92" s="97">
        <f t="shared" si="10"/>
        <v>0</v>
      </c>
      <c r="Q92" s="97">
        <f t="shared" si="11"/>
        <v>17</v>
      </c>
      <c r="R92" s="97">
        <f t="shared" si="12"/>
        <v>-13</v>
      </c>
      <c r="S92" s="2">
        <v>29</v>
      </c>
      <c r="T92" s="131">
        <f t="shared" si="13"/>
        <v>0</v>
      </c>
      <c r="U92" s="131">
        <f t="shared" si="14"/>
        <v>-273.13</v>
      </c>
      <c r="V92" s="118">
        <f t="shared" si="15"/>
        <v>129</v>
      </c>
    </row>
    <row r="93" spans="1:22" ht="15">
      <c r="A93" s="125" t="s">
        <v>268</v>
      </c>
      <c r="B93" s="126">
        <v>43584</v>
      </c>
      <c r="C93" s="127" t="s">
        <v>486</v>
      </c>
      <c r="D93" s="128">
        <v>19.03</v>
      </c>
      <c r="F93" s="121"/>
      <c r="K93" s="129">
        <v>43584</v>
      </c>
      <c r="M93" s="124">
        <f t="shared" si="8"/>
        <v>43601</v>
      </c>
      <c r="N93" s="122">
        <v>43601</v>
      </c>
      <c r="O93" s="97">
        <f t="shared" si="9"/>
        <v>-17</v>
      </c>
      <c r="P93" s="97">
        <f t="shared" si="10"/>
        <v>0</v>
      </c>
      <c r="Q93" s="97">
        <f t="shared" si="11"/>
        <v>17</v>
      </c>
      <c r="R93" s="97">
        <f t="shared" si="12"/>
        <v>-13</v>
      </c>
      <c r="S93" s="2">
        <v>29</v>
      </c>
      <c r="T93" s="131">
        <f t="shared" si="13"/>
        <v>0</v>
      </c>
      <c r="U93" s="131">
        <f t="shared" si="14"/>
        <v>-247.39000000000001</v>
      </c>
      <c r="V93" s="118">
        <f t="shared" si="15"/>
        <v>129</v>
      </c>
    </row>
    <row r="94" spans="1:22" ht="15">
      <c r="A94" s="125" t="s">
        <v>267</v>
      </c>
      <c r="B94" s="126">
        <v>43584</v>
      </c>
      <c r="C94" s="127" t="s">
        <v>487</v>
      </c>
      <c r="D94" s="128">
        <v>35.59</v>
      </c>
      <c r="F94" s="121"/>
      <c r="K94" s="129">
        <v>43584</v>
      </c>
      <c r="M94" s="124">
        <f t="shared" si="8"/>
        <v>43601</v>
      </c>
      <c r="N94" s="122">
        <v>43601</v>
      </c>
      <c r="O94" s="97">
        <f t="shared" si="9"/>
        <v>-17</v>
      </c>
      <c r="P94" s="97">
        <f t="shared" si="10"/>
        <v>0</v>
      </c>
      <c r="Q94" s="97">
        <f t="shared" si="11"/>
        <v>17</v>
      </c>
      <c r="R94" s="97">
        <f t="shared" si="12"/>
        <v>-13</v>
      </c>
      <c r="S94" s="2">
        <v>29</v>
      </c>
      <c r="T94" s="131">
        <f t="shared" si="13"/>
        <v>0</v>
      </c>
      <c r="U94" s="131">
        <f t="shared" si="14"/>
        <v>-462.6700000000001</v>
      </c>
      <c r="V94" s="118">
        <f t="shared" si="15"/>
        <v>129</v>
      </c>
    </row>
    <row r="95" spans="1:22" ht="15">
      <c r="A95" s="125" t="s">
        <v>266</v>
      </c>
      <c r="B95" s="126">
        <v>43584</v>
      </c>
      <c r="C95" s="127" t="s">
        <v>488</v>
      </c>
      <c r="D95" s="128">
        <v>23.37</v>
      </c>
      <c r="F95" s="121"/>
      <c r="K95" s="129">
        <v>43584</v>
      </c>
      <c r="M95" s="124">
        <f t="shared" si="8"/>
        <v>43601</v>
      </c>
      <c r="N95" s="122">
        <v>43601</v>
      </c>
      <c r="O95" s="97">
        <f t="shared" si="9"/>
        <v>-17</v>
      </c>
      <c r="P95" s="97">
        <f t="shared" si="10"/>
        <v>0</v>
      </c>
      <c r="Q95" s="97">
        <f t="shared" si="11"/>
        <v>17</v>
      </c>
      <c r="R95" s="97">
        <f t="shared" si="12"/>
        <v>-13</v>
      </c>
      <c r="S95" s="2">
        <v>29</v>
      </c>
      <c r="T95" s="131">
        <f t="shared" si="13"/>
        <v>0</v>
      </c>
      <c r="U95" s="131">
        <f t="shared" si="14"/>
        <v>-303.81</v>
      </c>
      <c r="V95" s="118">
        <f t="shared" si="15"/>
        <v>129</v>
      </c>
    </row>
    <row r="96" spans="1:22" ht="15">
      <c r="A96" s="125" t="s">
        <v>265</v>
      </c>
      <c r="B96" s="126">
        <v>43584</v>
      </c>
      <c r="C96" s="127" t="s">
        <v>489</v>
      </c>
      <c r="D96" s="128">
        <v>44.39</v>
      </c>
      <c r="F96" s="121"/>
      <c r="K96" s="129">
        <v>43584</v>
      </c>
      <c r="M96" s="124">
        <f t="shared" si="8"/>
        <v>43601</v>
      </c>
      <c r="N96" s="122">
        <v>43601</v>
      </c>
      <c r="O96" s="97">
        <f t="shared" si="9"/>
        <v>-17</v>
      </c>
      <c r="P96" s="97">
        <f t="shared" si="10"/>
        <v>0</v>
      </c>
      <c r="Q96" s="97">
        <f t="shared" si="11"/>
        <v>17</v>
      </c>
      <c r="R96" s="97">
        <f t="shared" si="12"/>
        <v>-13</v>
      </c>
      <c r="S96" s="2">
        <v>29</v>
      </c>
      <c r="T96" s="131">
        <f t="shared" si="13"/>
        <v>0</v>
      </c>
      <c r="U96" s="131">
        <f t="shared" si="14"/>
        <v>-577.07</v>
      </c>
      <c r="V96" s="118">
        <f t="shared" si="15"/>
        <v>129</v>
      </c>
    </row>
    <row r="97" spans="1:22" ht="15">
      <c r="A97" s="125" t="s">
        <v>264</v>
      </c>
      <c r="B97" s="126">
        <v>43615</v>
      </c>
      <c r="C97" s="127" t="s">
        <v>490</v>
      </c>
      <c r="D97" s="128">
        <v>329.54</v>
      </c>
      <c r="F97" s="121"/>
      <c r="K97" s="129">
        <v>43615</v>
      </c>
      <c r="M97" s="124">
        <f t="shared" si="8"/>
        <v>43634</v>
      </c>
      <c r="N97" s="122">
        <v>43634</v>
      </c>
      <c r="O97" s="97">
        <f t="shared" si="9"/>
        <v>-19</v>
      </c>
      <c r="P97" s="97">
        <f t="shared" si="10"/>
        <v>0</v>
      </c>
      <c r="Q97" s="97">
        <f t="shared" si="11"/>
        <v>19</v>
      </c>
      <c r="R97" s="97">
        <f t="shared" si="12"/>
        <v>-11</v>
      </c>
      <c r="S97" s="2">
        <v>29</v>
      </c>
      <c r="T97" s="131">
        <f t="shared" si="13"/>
        <v>0</v>
      </c>
      <c r="U97" s="131">
        <f t="shared" si="14"/>
        <v>-3624.94</v>
      </c>
      <c r="V97" s="118">
        <f t="shared" si="15"/>
        <v>129</v>
      </c>
    </row>
    <row r="98" spans="1:22" ht="15">
      <c r="A98" s="125" t="s">
        <v>263</v>
      </c>
      <c r="B98" s="126">
        <v>43615</v>
      </c>
      <c r="C98" s="127" t="s">
        <v>491</v>
      </c>
      <c r="D98" s="128">
        <v>540.82</v>
      </c>
      <c r="F98" s="121"/>
      <c r="K98" s="129">
        <v>43615</v>
      </c>
      <c r="M98" s="124">
        <f t="shared" si="8"/>
        <v>43634</v>
      </c>
      <c r="N98" s="122">
        <v>43634</v>
      </c>
      <c r="O98" s="97">
        <f t="shared" si="9"/>
        <v>-19</v>
      </c>
      <c r="P98" s="97">
        <f t="shared" si="10"/>
        <v>0</v>
      </c>
      <c r="Q98" s="97">
        <f t="shared" si="11"/>
        <v>19</v>
      </c>
      <c r="R98" s="97">
        <f t="shared" si="12"/>
        <v>-11</v>
      </c>
      <c r="S98" s="2">
        <v>29</v>
      </c>
      <c r="T98" s="131">
        <f t="shared" si="13"/>
        <v>0</v>
      </c>
      <c r="U98" s="131">
        <f t="shared" si="14"/>
        <v>-5949.02</v>
      </c>
      <c r="V98" s="118">
        <f t="shared" si="15"/>
        <v>129</v>
      </c>
    </row>
    <row r="99" spans="1:22" ht="15">
      <c r="A99" s="125" t="s">
        <v>262</v>
      </c>
      <c r="B99" s="126">
        <v>43615</v>
      </c>
      <c r="C99" s="127" t="s">
        <v>492</v>
      </c>
      <c r="D99" s="128">
        <v>428.64</v>
      </c>
      <c r="F99" s="121"/>
      <c r="K99" s="129">
        <v>43615</v>
      </c>
      <c r="M99" s="124">
        <f t="shared" si="8"/>
        <v>43634</v>
      </c>
      <c r="N99" s="122">
        <v>43634</v>
      </c>
      <c r="O99" s="97">
        <f t="shared" si="9"/>
        <v>-19</v>
      </c>
      <c r="P99" s="97">
        <f t="shared" si="10"/>
        <v>0</v>
      </c>
      <c r="Q99" s="97">
        <f t="shared" si="11"/>
        <v>19</v>
      </c>
      <c r="R99" s="97">
        <f t="shared" si="12"/>
        <v>-11</v>
      </c>
      <c r="S99" s="2">
        <v>29</v>
      </c>
      <c r="T99" s="131">
        <f t="shared" si="13"/>
        <v>0</v>
      </c>
      <c r="U99" s="131">
        <f t="shared" si="14"/>
        <v>-4715.04</v>
      </c>
      <c r="V99" s="118">
        <f t="shared" si="15"/>
        <v>129</v>
      </c>
    </row>
    <row r="100" spans="1:22" ht="15">
      <c r="A100" s="125" t="s">
        <v>261</v>
      </c>
      <c r="B100" s="126">
        <v>43615</v>
      </c>
      <c r="C100" s="127" t="s">
        <v>493</v>
      </c>
      <c r="D100" s="128">
        <v>414.52</v>
      </c>
      <c r="F100" s="121"/>
      <c r="K100" s="129">
        <v>43615</v>
      </c>
      <c r="M100" s="124">
        <f t="shared" si="8"/>
        <v>43634</v>
      </c>
      <c r="N100" s="122">
        <v>43634</v>
      </c>
      <c r="O100" s="97">
        <f t="shared" si="9"/>
        <v>-19</v>
      </c>
      <c r="P100" s="97">
        <f t="shared" si="10"/>
        <v>0</v>
      </c>
      <c r="Q100" s="97">
        <f t="shared" si="11"/>
        <v>19</v>
      </c>
      <c r="R100" s="97">
        <f t="shared" si="12"/>
        <v>-11</v>
      </c>
      <c r="S100" s="2">
        <v>29</v>
      </c>
      <c r="T100" s="131">
        <f t="shared" si="13"/>
        <v>0</v>
      </c>
      <c r="U100" s="131">
        <f t="shared" si="14"/>
        <v>-4559.719999999999</v>
      </c>
      <c r="V100" s="118">
        <f t="shared" si="15"/>
        <v>129</v>
      </c>
    </row>
    <row r="101" spans="1:22" ht="15">
      <c r="A101" s="125" t="s">
        <v>260</v>
      </c>
      <c r="B101" s="126">
        <v>43615</v>
      </c>
      <c r="C101" s="127" t="s">
        <v>494</v>
      </c>
      <c r="D101" s="128">
        <v>397.69</v>
      </c>
      <c r="F101" s="121"/>
      <c r="K101" s="129">
        <v>43615</v>
      </c>
      <c r="M101" s="124">
        <f t="shared" si="8"/>
        <v>43634</v>
      </c>
      <c r="N101" s="122">
        <v>43634</v>
      </c>
      <c r="O101" s="97">
        <f t="shared" si="9"/>
        <v>-19</v>
      </c>
      <c r="P101" s="97">
        <f t="shared" si="10"/>
        <v>0</v>
      </c>
      <c r="Q101" s="97">
        <f t="shared" si="11"/>
        <v>19</v>
      </c>
      <c r="R101" s="97">
        <f t="shared" si="12"/>
        <v>-11</v>
      </c>
      <c r="S101" s="2">
        <v>29</v>
      </c>
      <c r="T101" s="131">
        <f t="shared" si="13"/>
        <v>0</v>
      </c>
      <c r="U101" s="131">
        <f t="shared" si="14"/>
        <v>-4374.59</v>
      </c>
      <c r="V101" s="118">
        <f t="shared" si="15"/>
        <v>129</v>
      </c>
    </row>
    <row r="102" spans="1:22" ht="15">
      <c r="A102" s="125" t="s">
        <v>259</v>
      </c>
      <c r="B102" s="126">
        <v>43584</v>
      </c>
      <c r="C102" s="127" t="s">
        <v>495</v>
      </c>
      <c r="D102" s="128">
        <v>387.05</v>
      </c>
      <c r="F102" s="121"/>
      <c r="K102" s="129">
        <v>43584</v>
      </c>
      <c r="M102" s="124">
        <f t="shared" si="8"/>
        <v>43601</v>
      </c>
      <c r="N102" s="122">
        <v>43601</v>
      </c>
      <c r="O102" s="97">
        <f t="shared" si="9"/>
        <v>-17</v>
      </c>
      <c r="P102" s="97">
        <f t="shared" si="10"/>
        <v>0</v>
      </c>
      <c r="Q102" s="97">
        <f t="shared" si="11"/>
        <v>17</v>
      </c>
      <c r="R102" s="97">
        <f t="shared" si="12"/>
        <v>-13</v>
      </c>
      <c r="S102" s="2">
        <v>29</v>
      </c>
      <c r="T102" s="131">
        <f t="shared" si="13"/>
        <v>0</v>
      </c>
      <c r="U102" s="131">
        <f t="shared" si="14"/>
        <v>-5031.650000000001</v>
      </c>
      <c r="V102" s="118">
        <f t="shared" si="15"/>
        <v>129</v>
      </c>
    </row>
    <row r="103" spans="1:22" ht="15">
      <c r="A103" s="125" t="s">
        <v>258</v>
      </c>
      <c r="B103" s="126">
        <v>43584</v>
      </c>
      <c r="C103" s="127" t="s">
        <v>496</v>
      </c>
      <c r="D103" s="128">
        <v>362.37</v>
      </c>
      <c r="F103" s="121"/>
      <c r="K103" s="129">
        <v>43584</v>
      </c>
      <c r="M103" s="124">
        <f t="shared" si="8"/>
        <v>43601</v>
      </c>
      <c r="N103" s="122">
        <v>43601</v>
      </c>
      <c r="O103" s="97">
        <f t="shared" si="9"/>
        <v>-17</v>
      </c>
      <c r="P103" s="97">
        <f t="shared" si="10"/>
        <v>0</v>
      </c>
      <c r="Q103" s="97">
        <f t="shared" si="11"/>
        <v>17</v>
      </c>
      <c r="R103" s="97">
        <f t="shared" si="12"/>
        <v>-13</v>
      </c>
      <c r="S103" s="2">
        <v>29</v>
      </c>
      <c r="T103" s="131">
        <f t="shared" si="13"/>
        <v>0</v>
      </c>
      <c r="U103" s="131">
        <f t="shared" si="14"/>
        <v>-4710.81</v>
      </c>
      <c r="V103" s="118">
        <f t="shared" si="15"/>
        <v>129</v>
      </c>
    </row>
    <row r="104" spans="1:22" ht="15">
      <c r="A104" s="125" t="s">
        <v>257</v>
      </c>
      <c r="B104" s="126">
        <v>43615</v>
      </c>
      <c r="C104" s="127" t="s">
        <v>497</v>
      </c>
      <c r="D104" s="128">
        <v>34.34</v>
      </c>
      <c r="F104" s="121"/>
      <c r="K104" s="129">
        <v>43615</v>
      </c>
      <c r="M104" s="124">
        <f t="shared" si="8"/>
        <v>43634</v>
      </c>
      <c r="N104" s="122">
        <v>43634</v>
      </c>
      <c r="O104" s="97">
        <f t="shared" si="9"/>
        <v>-19</v>
      </c>
      <c r="P104" s="97">
        <f t="shared" si="10"/>
        <v>0</v>
      </c>
      <c r="Q104" s="97">
        <f t="shared" si="11"/>
        <v>19</v>
      </c>
      <c r="R104" s="97">
        <f t="shared" si="12"/>
        <v>-11</v>
      </c>
      <c r="S104" s="2">
        <v>29</v>
      </c>
      <c r="T104" s="131">
        <f t="shared" si="13"/>
        <v>0</v>
      </c>
      <c r="U104" s="131">
        <f t="shared" si="14"/>
        <v>-377.74</v>
      </c>
      <c r="V104" s="118">
        <f t="shared" si="15"/>
        <v>129</v>
      </c>
    </row>
    <row r="105" spans="1:22" ht="15">
      <c r="A105" s="125" t="s">
        <v>256</v>
      </c>
      <c r="B105" s="126">
        <v>43615</v>
      </c>
      <c r="C105" s="127" t="s">
        <v>498</v>
      </c>
      <c r="D105" s="128">
        <v>23.7</v>
      </c>
      <c r="F105" s="121"/>
      <c r="K105" s="129">
        <v>43615</v>
      </c>
      <c r="M105" s="124">
        <f t="shared" si="8"/>
        <v>43634</v>
      </c>
      <c r="N105" s="122">
        <v>43634</v>
      </c>
      <c r="O105" s="97">
        <f t="shared" si="9"/>
        <v>-19</v>
      </c>
      <c r="P105" s="97">
        <f t="shared" si="10"/>
        <v>0</v>
      </c>
      <c r="Q105" s="97">
        <f t="shared" si="11"/>
        <v>19</v>
      </c>
      <c r="R105" s="97">
        <f t="shared" si="12"/>
        <v>-11</v>
      </c>
      <c r="S105" s="2">
        <v>29</v>
      </c>
      <c r="T105" s="131">
        <f t="shared" si="13"/>
        <v>0</v>
      </c>
      <c r="U105" s="131">
        <f t="shared" si="14"/>
        <v>-260.7</v>
      </c>
      <c r="V105" s="118">
        <f t="shared" si="15"/>
        <v>129</v>
      </c>
    </row>
    <row r="106" spans="1:22" ht="15">
      <c r="A106" s="125" t="s">
        <v>255</v>
      </c>
      <c r="B106" s="126">
        <v>43615</v>
      </c>
      <c r="C106" s="127" t="s">
        <v>499</v>
      </c>
      <c r="D106" s="128">
        <v>17.29</v>
      </c>
      <c r="F106" s="121"/>
      <c r="K106" s="129">
        <v>43615</v>
      </c>
      <c r="M106" s="124">
        <f t="shared" si="8"/>
        <v>43634</v>
      </c>
      <c r="N106" s="122">
        <v>43634</v>
      </c>
      <c r="O106" s="97">
        <f t="shared" si="9"/>
        <v>-19</v>
      </c>
      <c r="P106" s="97">
        <f t="shared" si="10"/>
        <v>0</v>
      </c>
      <c r="Q106" s="97">
        <f t="shared" si="11"/>
        <v>19</v>
      </c>
      <c r="R106" s="97">
        <f t="shared" si="12"/>
        <v>-11</v>
      </c>
      <c r="S106" s="2">
        <v>29</v>
      </c>
      <c r="T106" s="131">
        <f t="shared" si="13"/>
        <v>0</v>
      </c>
      <c r="U106" s="131">
        <f t="shared" si="14"/>
        <v>-190.19</v>
      </c>
      <c r="V106" s="118">
        <f t="shared" si="15"/>
        <v>129</v>
      </c>
    </row>
    <row r="107" spans="1:22" ht="15">
      <c r="A107" s="125" t="s">
        <v>254</v>
      </c>
      <c r="B107" s="126">
        <v>43615</v>
      </c>
      <c r="C107" s="127" t="s">
        <v>500</v>
      </c>
      <c r="D107" s="128">
        <v>15.69</v>
      </c>
      <c r="F107" s="121"/>
      <c r="K107" s="129">
        <v>43615</v>
      </c>
      <c r="M107" s="124">
        <f t="shared" si="8"/>
        <v>43634</v>
      </c>
      <c r="N107" s="122">
        <v>43634</v>
      </c>
      <c r="O107" s="97">
        <f t="shared" si="9"/>
        <v>-19</v>
      </c>
      <c r="P107" s="97">
        <f t="shared" si="10"/>
        <v>0</v>
      </c>
      <c r="Q107" s="97">
        <f t="shared" si="11"/>
        <v>19</v>
      </c>
      <c r="R107" s="97">
        <f t="shared" si="12"/>
        <v>-11</v>
      </c>
      <c r="S107" s="2">
        <v>29</v>
      </c>
      <c r="T107" s="131">
        <f t="shared" si="13"/>
        <v>0</v>
      </c>
      <c r="U107" s="131">
        <f t="shared" si="14"/>
        <v>-172.59</v>
      </c>
      <c r="V107" s="118">
        <f t="shared" si="15"/>
        <v>129</v>
      </c>
    </row>
    <row r="108" spans="1:22" ht="15">
      <c r="A108" s="125" t="s">
        <v>253</v>
      </c>
      <c r="B108" s="126">
        <v>43615</v>
      </c>
      <c r="C108" s="127" t="s">
        <v>501</v>
      </c>
      <c r="D108" s="128">
        <v>37.98</v>
      </c>
      <c r="F108" s="121"/>
      <c r="K108" s="129">
        <v>43615</v>
      </c>
      <c r="M108" s="124">
        <f t="shared" si="8"/>
        <v>43634</v>
      </c>
      <c r="N108" s="122">
        <v>43634</v>
      </c>
      <c r="O108" s="97">
        <f t="shared" si="9"/>
        <v>-19</v>
      </c>
      <c r="P108" s="97">
        <f t="shared" si="10"/>
        <v>0</v>
      </c>
      <c r="Q108" s="97">
        <f t="shared" si="11"/>
        <v>19</v>
      </c>
      <c r="R108" s="97">
        <f t="shared" si="12"/>
        <v>-11</v>
      </c>
      <c r="S108" s="2">
        <v>29</v>
      </c>
      <c r="T108" s="131">
        <f t="shared" si="13"/>
        <v>0</v>
      </c>
      <c r="U108" s="131">
        <f t="shared" si="14"/>
        <v>-417.78</v>
      </c>
      <c r="V108" s="118">
        <f t="shared" si="15"/>
        <v>129</v>
      </c>
    </row>
    <row r="109" spans="1:22" ht="15">
      <c r="A109" s="125" t="s">
        <v>252</v>
      </c>
      <c r="B109" s="126">
        <v>43615</v>
      </c>
      <c r="C109" s="127" t="s">
        <v>502</v>
      </c>
      <c r="D109" s="128">
        <v>25.7</v>
      </c>
      <c r="F109" s="121"/>
      <c r="K109" s="129">
        <v>43615</v>
      </c>
      <c r="M109" s="124">
        <f t="shared" si="8"/>
        <v>43634</v>
      </c>
      <c r="N109" s="122">
        <v>43634</v>
      </c>
      <c r="O109" s="97">
        <f t="shared" si="9"/>
        <v>-19</v>
      </c>
      <c r="P109" s="97">
        <f t="shared" si="10"/>
        <v>0</v>
      </c>
      <c r="Q109" s="97">
        <f t="shared" si="11"/>
        <v>19</v>
      </c>
      <c r="R109" s="97">
        <f t="shared" si="12"/>
        <v>-11</v>
      </c>
      <c r="S109" s="2">
        <v>29</v>
      </c>
      <c r="T109" s="131">
        <f t="shared" si="13"/>
        <v>0</v>
      </c>
      <c r="U109" s="131">
        <f t="shared" si="14"/>
        <v>-282.7</v>
      </c>
      <c r="V109" s="118">
        <f t="shared" si="15"/>
        <v>129</v>
      </c>
    </row>
    <row r="110" spans="1:22" ht="15">
      <c r="A110" s="125" t="s">
        <v>238</v>
      </c>
      <c r="B110" s="126">
        <v>43556</v>
      </c>
      <c r="C110" s="127" t="s">
        <v>516</v>
      </c>
      <c r="D110" s="128">
        <v>90</v>
      </c>
      <c r="F110" s="121"/>
      <c r="K110" s="129">
        <v>43563</v>
      </c>
      <c r="M110" s="124">
        <f t="shared" si="8"/>
        <v>43563</v>
      </c>
      <c r="N110" s="122">
        <v>43563</v>
      </c>
      <c r="O110" s="97">
        <f t="shared" si="9"/>
        <v>0</v>
      </c>
      <c r="P110" s="97">
        <f t="shared" si="10"/>
        <v>0</v>
      </c>
      <c r="Q110" s="97">
        <f t="shared" si="11"/>
        <v>0</v>
      </c>
      <c r="R110" s="97">
        <f t="shared" si="12"/>
        <v>-30</v>
      </c>
      <c r="S110" s="2">
        <v>29</v>
      </c>
      <c r="T110" s="131">
        <f t="shared" si="13"/>
        <v>0</v>
      </c>
      <c r="U110" s="131">
        <f t="shared" si="14"/>
        <v>-2700</v>
      </c>
      <c r="V110" s="118">
        <f t="shared" si="15"/>
        <v>129</v>
      </c>
    </row>
    <row r="111" spans="1:22" ht="15">
      <c r="A111" s="125" t="s">
        <v>237</v>
      </c>
      <c r="B111" s="126">
        <v>43591</v>
      </c>
      <c r="C111" s="127" t="s">
        <v>517</v>
      </c>
      <c r="D111" s="128">
        <v>30</v>
      </c>
      <c r="F111" s="121"/>
      <c r="K111" s="129">
        <v>43601</v>
      </c>
      <c r="M111" s="124">
        <f t="shared" si="8"/>
        <v>43614</v>
      </c>
      <c r="N111" s="122">
        <v>43614</v>
      </c>
      <c r="O111" s="97">
        <f t="shared" si="9"/>
        <v>-13</v>
      </c>
      <c r="P111" s="97">
        <f t="shared" si="10"/>
        <v>0</v>
      </c>
      <c r="Q111" s="97">
        <f t="shared" si="11"/>
        <v>13</v>
      </c>
      <c r="R111" s="97">
        <f t="shared" si="12"/>
        <v>-17</v>
      </c>
      <c r="S111" s="2">
        <v>29</v>
      </c>
      <c r="T111" s="131">
        <f t="shared" si="13"/>
        <v>0</v>
      </c>
      <c r="U111" s="131">
        <f t="shared" si="14"/>
        <v>-510</v>
      </c>
      <c r="V111" s="118">
        <f t="shared" si="15"/>
        <v>129</v>
      </c>
    </row>
    <row r="112" spans="1:22" ht="15">
      <c r="A112" s="125" t="s">
        <v>236</v>
      </c>
      <c r="B112" s="126">
        <v>43619</v>
      </c>
      <c r="C112" s="127" t="s">
        <v>518</v>
      </c>
      <c r="D112" s="128">
        <v>150</v>
      </c>
      <c r="F112" s="121"/>
      <c r="K112" s="129">
        <v>43626</v>
      </c>
      <c r="M112" s="124">
        <f t="shared" si="8"/>
        <v>43633</v>
      </c>
      <c r="N112" s="122">
        <v>43633</v>
      </c>
      <c r="O112" s="97">
        <f t="shared" si="9"/>
        <v>-7</v>
      </c>
      <c r="P112" s="97">
        <f t="shared" si="10"/>
        <v>0</v>
      </c>
      <c r="Q112" s="97">
        <f t="shared" si="11"/>
        <v>7</v>
      </c>
      <c r="R112" s="97">
        <f t="shared" si="12"/>
        <v>-23</v>
      </c>
      <c r="S112" s="2">
        <v>29</v>
      </c>
      <c r="T112" s="131">
        <f t="shared" si="13"/>
        <v>0</v>
      </c>
      <c r="U112" s="131">
        <f t="shared" si="14"/>
        <v>-3450</v>
      </c>
      <c r="V112" s="118">
        <f t="shared" si="15"/>
        <v>129</v>
      </c>
    </row>
    <row r="113" spans="1:22" ht="15">
      <c r="A113" s="125" t="s">
        <v>235</v>
      </c>
      <c r="B113" s="126">
        <v>43564</v>
      </c>
      <c r="C113" s="127" t="s">
        <v>519</v>
      </c>
      <c r="D113" s="128">
        <v>2065.5</v>
      </c>
      <c r="F113" s="121"/>
      <c r="K113" s="129">
        <v>43570</v>
      </c>
      <c r="M113" s="124">
        <f t="shared" si="8"/>
        <v>43570</v>
      </c>
      <c r="N113" s="122">
        <v>43570</v>
      </c>
      <c r="O113" s="97">
        <f t="shared" si="9"/>
        <v>0</v>
      </c>
      <c r="P113" s="97">
        <f t="shared" si="10"/>
        <v>0</v>
      </c>
      <c r="Q113" s="97">
        <f t="shared" si="11"/>
        <v>0</v>
      </c>
      <c r="R113" s="97">
        <f t="shared" si="12"/>
        <v>-30</v>
      </c>
      <c r="S113" s="2">
        <v>29</v>
      </c>
      <c r="T113" s="131">
        <f t="shared" si="13"/>
        <v>0</v>
      </c>
      <c r="U113" s="131">
        <f t="shared" si="14"/>
        <v>-61965</v>
      </c>
      <c r="V113" s="118">
        <f t="shared" si="15"/>
        <v>129</v>
      </c>
    </row>
    <row r="114" spans="1:22" ht="15">
      <c r="A114" s="125" t="s">
        <v>234</v>
      </c>
      <c r="B114" s="126">
        <v>43564</v>
      </c>
      <c r="C114" s="127" t="s">
        <v>520</v>
      </c>
      <c r="D114" s="128">
        <v>2430</v>
      </c>
      <c r="F114" s="121"/>
      <c r="K114" s="129">
        <v>43591</v>
      </c>
      <c r="M114" s="124">
        <f t="shared" si="8"/>
        <v>43616</v>
      </c>
      <c r="N114" s="122">
        <v>43616</v>
      </c>
      <c r="O114" s="97">
        <f t="shared" si="9"/>
        <v>-25</v>
      </c>
      <c r="P114" s="97">
        <f t="shared" si="10"/>
        <v>0</v>
      </c>
      <c r="Q114" s="97">
        <f t="shared" si="11"/>
        <v>25</v>
      </c>
      <c r="R114" s="97">
        <f t="shared" si="12"/>
        <v>-5</v>
      </c>
      <c r="S114" s="2">
        <v>29</v>
      </c>
      <c r="T114" s="131">
        <f t="shared" si="13"/>
        <v>0</v>
      </c>
      <c r="U114" s="131">
        <f t="shared" si="14"/>
        <v>-12150</v>
      </c>
      <c r="V114" s="118">
        <f t="shared" si="15"/>
        <v>129</v>
      </c>
    </row>
    <row r="115" spans="1:22" ht="15">
      <c r="A115" s="125" t="s">
        <v>233</v>
      </c>
      <c r="B115" s="126">
        <v>43564</v>
      </c>
      <c r="C115" s="127" t="s">
        <v>521</v>
      </c>
      <c r="D115" s="128">
        <v>2430</v>
      </c>
      <c r="F115" s="121"/>
      <c r="K115" s="129">
        <v>43614</v>
      </c>
      <c r="M115" s="124">
        <f t="shared" si="8"/>
        <v>43644</v>
      </c>
      <c r="N115" s="122">
        <v>43644</v>
      </c>
      <c r="O115" s="97">
        <f t="shared" si="9"/>
        <v>-30</v>
      </c>
      <c r="P115" s="97">
        <f t="shared" si="10"/>
        <v>0</v>
      </c>
      <c r="Q115" s="97">
        <f t="shared" si="11"/>
        <v>30</v>
      </c>
      <c r="R115" s="97">
        <f t="shared" si="12"/>
        <v>0</v>
      </c>
      <c r="S115" s="2">
        <v>29</v>
      </c>
      <c r="T115" s="131">
        <f t="shared" si="13"/>
        <v>0</v>
      </c>
      <c r="U115" s="131">
        <f t="shared" si="14"/>
        <v>0</v>
      </c>
      <c r="V115" s="118">
        <f t="shared" si="15"/>
        <v>129</v>
      </c>
    </row>
    <row r="116" spans="1:22" ht="15">
      <c r="A116" s="125" t="s">
        <v>231</v>
      </c>
      <c r="B116" s="126">
        <v>43585</v>
      </c>
      <c r="C116" s="127" t="s">
        <v>523</v>
      </c>
      <c r="D116" s="128">
        <v>137.64</v>
      </c>
      <c r="F116" s="121"/>
      <c r="K116" s="129">
        <v>43619</v>
      </c>
      <c r="M116" s="124">
        <f t="shared" si="8"/>
        <v>43615</v>
      </c>
      <c r="N116" s="122">
        <v>43615</v>
      </c>
      <c r="O116" s="97">
        <f t="shared" si="9"/>
        <v>4</v>
      </c>
      <c r="P116" s="97">
        <f t="shared" si="10"/>
        <v>0</v>
      </c>
      <c r="Q116" s="97">
        <f t="shared" si="11"/>
        <v>-4</v>
      </c>
      <c r="R116" s="97">
        <f t="shared" si="12"/>
        <v>-34</v>
      </c>
      <c r="S116" s="2">
        <v>29</v>
      </c>
      <c r="T116" s="131">
        <f t="shared" si="13"/>
        <v>0</v>
      </c>
      <c r="U116" s="131">
        <f t="shared" si="14"/>
        <v>-4679.759999999999</v>
      </c>
      <c r="V116" s="118">
        <f t="shared" si="15"/>
        <v>129</v>
      </c>
    </row>
    <row r="117" spans="1:22" ht="15">
      <c r="A117" s="125" t="s">
        <v>230</v>
      </c>
      <c r="B117" s="126">
        <v>43585</v>
      </c>
      <c r="C117" s="127" t="s">
        <v>524</v>
      </c>
      <c r="D117" s="128">
        <v>607.2</v>
      </c>
      <c r="F117" s="121"/>
      <c r="K117" s="129">
        <v>43619</v>
      </c>
      <c r="M117" s="124">
        <f t="shared" si="8"/>
        <v>43615</v>
      </c>
      <c r="N117" s="122">
        <v>43615</v>
      </c>
      <c r="O117" s="97">
        <f t="shared" si="9"/>
        <v>4</v>
      </c>
      <c r="P117" s="97">
        <f t="shared" si="10"/>
        <v>0</v>
      </c>
      <c r="Q117" s="97">
        <f t="shared" si="11"/>
        <v>-4</v>
      </c>
      <c r="R117" s="97">
        <f t="shared" si="12"/>
        <v>-34</v>
      </c>
      <c r="S117" s="2">
        <v>29</v>
      </c>
      <c r="T117" s="131">
        <f t="shared" si="13"/>
        <v>0</v>
      </c>
      <c r="U117" s="131">
        <f t="shared" si="14"/>
        <v>-20644.800000000003</v>
      </c>
      <c r="V117" s="118">
        <f t="shared" si="15"/>
        <v>129</v>
      </c>
    </row>
    <row r="118" spans="1:22" ht="15">
      <c r="A118" s="125" t="s">
        <v>229</v>
      </c>
      <c r="B118" s="126">
        <v>43616</v>
      </c>
      <c r="C118" s="127" t="s">
        <v>525</v>
      </c>
      <c r="D118" s="128">
        <v>412.91</v>
      </c>
      <c r="F118" s="121"/>
      <c r="K118" s="129">
        <v>43635</v>
      </c>
      <c r="M118" s="124">
        <f t="shared" si="8"/>
        <v>43646</v>
      </c>
      <c r="N118" s="122">
        <v>43646</v>
      </c>
      <c r="O118" s="97">
        <f t="shared" si="9"/>
        <v>-11</v>
      </c>
      <c r="P118" s="97">
        <f t="shared" si="10"/>
        <v>0</v>
      </c>
      <c r="Q118" s="97">
        <f t="shared" si="11"/>
        <v>11</v>
      </c>
      <c r="R118" s="97">
        <f t="shared" si="12"/>
        <v>-19</v>
      </c>
      <c r="S118" s="2">
        <v>29</v>
      </c>
      <c r="T118" s="131">
        <f t="shared" si="13"/>
        <v>0</v>
      </c>
      <c r="U118" s="131">
        <f t="shared" si="14"/>
        <v>-7845.290000000001</v>
      </c>
      <c r="V118" s="118">
        <f t="shared" si="15"/>
        <v>129</v>
      </c>
    </row>
    <row r="119" spans="1:22" ht="15">
      <c r="A119" s="125" t="s">
        <v>228</v>
      </c>
      <c r="B119" s="126">
        <v>43616</v>
      </c>
      <c r="C119" s="127" t="s">
        <v>526</v>
      </c>
      <c r="D119" s="128">
        <v>1163.8</v>
      </c>
      <c r="F119" s="121"/>
      <c r="K119" s="129">
        <v>43616</v>
      </c>
      <c r="M119" s="124">
        <f t="shared" si="8"/>
        <v>43647</v>
      </c>
      <c r="N119" s="122">
        <v>43647</v>
      </c>
      <c r="O119" s="97">
        <f t="shared" si="9"/>
        <v>-31</v>
      </c>
      <c r="P119" s="97">
        <f t="shared" si="10"/>
        <v>0</v>
      </c>
      <c r="Q119" s="97">
        <f t="shared" si="11"/>
        <v>31</v>
      </c>
      <c r="R119" s="97">
        <f t="shared" si="12"/>
        <v>1</v>
      </c>
      <c r="S119" s="2">
        <v>29</v>
      </c>
      <c r="T119" s="131">
        <f t="shared" si="13"/>
        <v>0</v>
      </c>
      <c r="U119" s="131">
        <f t="shared" si="14"/>
        <v>1163.8</v>
      </c>
      <c r="V119" s="118">
        <f t="shared" si="15"/>
        <v>129</v>
      </c>
    </row>
    <row r="120" spans="1:22" ht="15">
      <c r="A120" s="125" t="s">
        <v>225</v>
      </c>
      <c r="B120" s="126">
        <v>43578</v>
      </c>
      <c r="C120" s="127" t="s">
        <v>529</v>
      </c>
      <c r="D120" s="128">
        <v>200</v>
      </c>
      <c r="F120" s="121"/>
      <c r="K120" s="129">
        <v>43592</v>
      </c>
      <c r="M120" s="124">
        <f t="shared" si="8"/>
        <v>43584</v>
      </c>
      <c r="N120" s="122">
        <v>43584</v>
      </c>
      <c r="O120" s="97">
        <f t="shared" si="9"/>
        <v>8</v>
      </c>
      <c r="P120" s="97">
        <f t="shared" si="10"/>
        <v>0</v>
      </c>
      <c r="Q120" s="97">
        <f t="shared" si="11"/>
        <v>-8</v>
      </c>
      <c r="R120" s="97">
        <f t="shared" si="12"/>
        <v>-38</v>
      </c>
      <c r="S120" s="2">
        <v>29</v>
      </c>
      <c r="T120" s="131">
        <f t="shared" si="13"/>
        <v>0</v>
      </c>
      <c r="U120" s="131">
        <f t="shared" si="14"/>
        <v>-7600</v>
      </c>
      <c r="V120" s="118">
        <f t="shared" si="15"/>
        <v>129</v>
      </c>
    </row>
    <row r="121" spans="1:22" ht="15">
      <c r="A121" s="125" t="s">
        <v>224</v>
      </c>
      <c r="B121" s="126">
        <v>43644</v>
      </c>
      <c r="C121" s="127" t="s">
        <v>530</v>
      </c>
      <c r="D121" s="128">
        <v>50</v>
      </c>
      <c r="F121" s="121"/>
      <c r="K121" s="129">
        <v>43637</v>
      </c>
      <c r="M121" s="124">
        <f t="shared" si="8"/>
        <v>43642</v>
      </c>
      <c r="N121" s="122">
        <v>43642</v>
      </c>
      <c r="O121" s="97">
        <f t="shared" si="9"/>
        <v>-5</v>
      </c>
      <c r="P121" s="97">
        <f t="shared" si="10"/>
        <v>0</v>
      </c>
      <c r="Q121" s="97">
        <f t="shared" si="11"/>
        <v>5</v>
      </c>
      <c r="R121" s="97">
        <f t="shared" si="12"/>
        <v>-25</v>
      </c>
      <c r="S121" s="2">
        <v>29</v>
      </c>
      <c r="T121" s="131">
        <f t="shared" si="13"/>
        <v>0</v>
      </c>
      <c r="U121" s="131">
        <f t="shared" si="14"/>
        <v>-1250</v>
      </c>
      <c r="V121" s="118">
        <f t="shared" si="15"/>
        <v>129</v>
      </c>
    </row>
    <row r="122" spans="1:22" ht="15">
      <c r="A122" s="125" t="s">
        <v>223</v>
      </c>
      <c r="B122" s="126">
        <v>43556</v>
      </c>
      <c r="C122" s="127" t="s">
        <v>531</v>
      </c>
      <c r="D122" s="128">
        <v>277.3</v>
      </c>
      <c r="F122" s="121"/>
      <c r="K122" s="129">
        <v>43556</v>
      </c>
      <c r="M122" s="124">
        <f t="shared" si="8"/>
        <v>43612</v>
      </c>
      <c r="N122" s="122">
        <v>43612</v>
      </c>
      <c r="O122" s="97">
        <f t="shared" si="9"/>
        <v>-56</v>
      </c>
      <c r="P122" s="97">
        <f t="shared" si="10"/>
        <v>0</v>
      </c>
      <c r="Q122" s="97">
        <f t="shared" si="11"/>
        <v>56</v>
      </c>
      <c r="R122" s="97">
        <f t="shared" si="12"/>
        <v>26</v>
      </c>
      <c r="S122" s="2">
        <v>29</v>
      </c>
      <c r="T122" s="131">
        <f t="shared" si="13"/>
        <v>0</v>
      </c>
      <c r="U122" s="131">
        <f t="shared" si="14"/>
        <v>7209.8</v>
      </c>
      <c r="V122" s="118">
        <f t="shared" si="15"/>
        <v>129</v>
      </c>
    </row>
    <row r="123" spans="1:22" ht="15">
      <c r="A123" s="125" t="s">
        <v>222</v>
      </c>
      <c r="B123" s="126">
        <v>43556</v>
      </c>
      <c r="C123" s="127" t="s">
        <v>532</v>
      </c>
      <c r="D123" s="128">
        <v>250.69</v>
      </c>
      <c r="F123" s="121"/>
      <c r="K123" s="129">
        <v>43556</v>
      </c>
      <c r="M123" s="124">
        <f t="shared" si="8"/>
        <v>43612</v>
      </c>
      <c r="N123" s="122">
        <v>43612</v>
      </c>
      <c r="O123" s="97">
        <f t="shared" si="9"/>
        <v>-56</v>
      </c>
      <c r="P123" s="97">
        <f t="shared" si="10"/>
        <v>0</v>
      </c>
      <c r="Q123" s="97">
        <f t="shared" si="11"/>
        <v>56</v>
      </c>
      <c r="R123" s="97">
        <f t="shared" si="12"/>
        <v>26</v>
      </c>
      <c r="S123" s="2">
        <v>29</v>
      </c>
      <c r="T123" s="131">
        <f t="shared" si="13"/>
        <v>0</v>
      </c>
      <c r="U123" s="131">
        <f t="shared" si="14"/>
        <v>6517.94</v>
      </c>
      <c r="V123" s="118">
        <f t="shared" si="15"/>
        <v>129</v>
      </c>
    </row>
    <row r="124" spans="1:22" ht="15">
      <c r="A124" s="125" t="s">
        <v>221</v>
      </c>
      <c r="B124" s="126">
        <v>43626</v>
      </c>
      <c r="C124" s="127" t="s">
        <v>533</v>
      </c>
      <c r="D124" s="128">
        <v>387.2</v>
      </c>
      <c r="F124" s="121"/>
      <c r="K124" s="129">
        <v>43629</v>
      </c>
      <c r="M124" s="124">
        <f t="shared" si="8"/>
        <v>43633</v>
      </c>
      <c r="N124" s="122">
        <v>43633</v>
      </c>
      <c r="O124" s="97">
        <f t="shared" si="9"/>
        <v>-4</v>
      </c>
      <c r="P124" s="97">
        <f t="shared" si="10"/>
        <v>0</v>
      </c>
      <c r="Q124" s="97">
        <f t="shared" si="11"/>
        <v>4</v>
      </c>
      <c r="R124" s="97">
        <f t="shared" si="12"/>
        <v>-26</v>
      </c>
      <c r="S124" s="2">
        <v>29</v>
      </c>
      <c r="T124" s="131">
        <f t="shared" si="13"/>
        <v>0</v>
      </c>
      <c r="U124" s="131">
        <f t="shared" si="14"/>
        <v>-10067.199999999999</v>
      </c>
      <c r="V124" s="118">
        <f t="shared" si="15"/>
        <v>129</v>
      </c>
    </row>
    <row r="125" spans="1:22" ht="15">
      <c r="A125" s="125" t="s">
        <v>220</v>
      </c>
      <c r="B125" s="126">
        <v>43579</v>
      </c>
      <c r="C125" s="127" t="s">
        <v>534</v>
      </c>
      <c r="D125" s="128">
        <v>94.38</v>
      </c>
      <c r="F125" s="121"/>
      <c r="K125" s="129">
        <v>43591</v>
      </c>
      <c r="M125" s="124">
        <f t="shared" si="8"/>
        <v>43616</v>
      </c>
      <c r="N125" s="122">
        <v>43616</v>
      </c>
      <c r="O125" s="97">
        <f t="shared" si="9"/>
        <v>-25</v>
      </c>
      <c r="P125" s="97">
        <f t="shared" si="10"/>
        <v>0</v>
      </c>
      <c r="Q125" s="97">
        <f t="shared" si="11"/>
        <v>25</v>
      </c>
      <c r="R125" s="97">
        <f t="shared" si="12"/>
        <v>-5</v>
      </c>
      <c r="S125" s="2">
        <v>21</v>
      </c>
      <c r="T125" s="131">
        <f t="shared" si="13"/>
        <v>0</v>
      </c>
      <c r="U125" s="131">
        <f t="shared" si="14"/>
        <v>-471.9</v>
      </c>
      <c r="V125" s="118">
        <f t="shared" si="15"/>
        <v>121</v>
      </c>
    </row>
    <row r="126" spans="1:22" ht="15">
      <c r="A126" s="125" t="s">
        <v>218</v>
      </c>
      <c r="B126" s="126">
        <v>43585</v>
      </c>
      <c r="C126" s="127" t="s">
        <v>536</v>
      </c>
      <c r="D126" s="128">
        <v>210</v>
      </c>
      <c r="F126" s="121"/>
      <c r="K126" s="129">
        <v>43607</v>
      </c>
      <c r="M126" s="124">
        <f t="shared" si="8"/>
        <v>43614</v>
      </c>
      <c r="N126" s="122">
        <v>43614</v>
      </c>
      <c r="O126" s="97">
        <f t="shared" si="9"/>
        <v>-7</v>
      </c>
      <c r="P126" s="97">
        <f t="shared" si="10"/>
        <v>0</v>
      </c>
      <c r="Q126" s="97">
        <f t="shared" si="11"/>
        <v>7</v>
      </c>
      <c r="R126" s="97">
        <f t="shared" si="12"/>
        <v>-23</v>
      </c>
      <c r="S126" s="2">
        <v>29</v>
      </c>
      <c r="T126" s="131">
        <f t="shared" si="13"/>
        <v>0</v>
      </c>
      <c r="U126" s="131">
        <f t="shared" si="14"/>
        <v>-4830</v>
      </c>
      <c r="V126" s="118">
        <f t="shared" si="15"/>
        <v>129</v>
      </c>
    </row>
    <row r="127" spans="1:22" ht="15">
      <c r="A127" s="125" t="s">
        <v>217</v>
      </c>
      <c r="B127" s="126">
        <v>43566</v>
      </c>
      <c r="C127" s="127" t="s">
        <v>537</v>
      </c>
      <c r="D127" s="128">
        <v>33.73</v>
      </c>
      <c r="F127" s="121"/>
      <c r="K127" s="129">
        <v>43592</v>
      </c>
      <c r="M127" s="124">
        <f t="shared" si="8"/>
        <v>43600</v>
      </c>
      <c r="N127" s="122">
        <v>43600</v>
      </c>
      <c r="O127" s="97">
        <f t="shared" si="9"/>
        <v>-8</v>
      </c>
      <c r="P127" s="97">
        <f t="shared" si="10"/>
        <v>0</v>
      </c>
      <c r="Q127" s="97">
        <f t="shared" si="11"/>
        <v>8</v>
      </c>
      <c r="R127" s="97">
        <f t="shared" si="12"/>
        <v>-22</v>
      </c>
      <c r="S127" s="2">
        <v>29</v>
      </c>
      <c r="T127" s="131">
        <f t="shared" si="13"/>
        <v>0</v>
      </c>
      <c r="U127" s="131">
        <f t="shared" si="14"/>
        <v>-742.06</v>
      </c>
      <c r="V127" s="118">
        <f t="shared" si="15"/>
        <v>129</v>
      </c>
    </row>
    <row r="128" spans="1:22" ht="15">
      <c r="A128" s="125" t="s">
        <v>216</v>
      </c>
      <c r="B128" s="126">
        <v>43588</v>
      </c>
      <c r="C128" s="127" t="s">
        <v>538</v>
      </c>
      <c r="D128" s="128">
        <v>100.68</v>
      </c>
      <c r="F128" s="121"/>
      <c r="K128" s="129">
        <v>43601</v>
      </c>
      <c r="M128" s="124">
        <f t="shared" si="8"/>
        <v>43587</v>
      </c>
      <c r="N128" s="122">
        <v>43587</v>
      </c>
      <c r="O128" s="97">
        <f t="shared" si="9"/>
        <v>14</v>
      </c>
      <c r="P128" s="97">
        <f t="shared" si="10"/>
        <v>0</v>
      </c>
      <c r="Q128" s="97">
        <f t="shared" si="11"/>
        <v>-14</v>
      </c>
      <c r="R128" s="97">
        <f t="shared" si="12"/>
        <v>-44</v>
      </c>
      <c r="S128" s="2">
        <v>21</v>
      </c>
      <c r="T128" s="131">
        <f t="shared" si="13"/>
        <v>0</v>
      </c>
      <c r="U128" s="131">
        <f t="shared" si="14"/>
        <v>-4429.92</v>
      </c>
      <c r="V128" s="118">
        <f t="shared" si="15"/>
        <v>121</v>
      </c>
    </row>
    <row r="129" spans="1:22" ht="15">
      <c r="A129" s="125" t="s">
        <v>214</v>
      </c>
      <c r="B129" s="126">
        <v>43628</v>
      </c>
      <c r="C129" s="127" t="s">
        <v>540</v>
      </c>
      <c r="D129" s="128">
        <v>170.82</v>
      </c>
      <c r="F129" s="121"/>
      <c r="K129" s="129">
        <v>43628</v>
      </c>
      <c r="M129" s="124">
        <f t="shared" si="8"/>
        <v>43618</v>
      </c>
      <c r="N129" s="122">
        <v>43618</v>
      </c>
      <c r="O129" s="97">
        <f t="shared" si="9"/>
        <v>10</v>
      </c>
      <c r="P129" s="97">
        <f t="shared" si="10"/>
        <v>0</v>
      </c>
      <c r="Q129" s="97">
        <f t="shared" si="11"/>
        <v>-10</v>
      </c>
      <c r="R129" s="97">
        <f t="shared" si="12"/>
        <v>-40</v>
      </c>
      <c r="S129" s="2">
        <v>22</v>
      </c>
      <c r="T129" s="131">
        <f t="shared" si="13"/>
        <v>0</v>
      </c>
      <c r="U129" s="131">
        <f t="shared" si="14"/>
        <v>-6832.799999999999</v>
      </c>
      <c r="V129" s="118">
        <f t="shared" si="15"/>
        <v>122</v>
      </c>
    </row>
    <row r="130" spans="1:22" ht="15">
      <c r="A130" s="125" t="s">
        <v>213</v>
      </c>
      <c r="B130" s="126">
        <v>43572</v>
      </c>
      <c r="C130" s="127" t="s">
        <v>541</v>
      </c>
      <c r="D130" s="128">
        <v>10.84</v>
      </c>
      <c r="F130" s="121"/>
      <c r="K130" s="129">
        <v>43572</v>
      </c>
      <c r="M130" s="124">
        <f t="shared" si="8"/>
        <v>43588</v>
      </c>
      <c r="N130" s="122">
        <v>43588</v>
      </c>
      <c r="O130" s="97">
        <f t="shared" si="9"/>
        <v>-16</v>
      </c>
      <c r="P130" s="97">
        <f t="shared" si="10"/>
        <v>0</v>
      </c>
      <c r="Q130" s="97">
        <f t="shared" si="11"/>
        <v>16</v>
      </c>
      <c r="R130" s="97">
        <f t="shared" si="12"/>
        <v>-14</v>
      </c>
      <c r="S130" s="2">
        <v>22</v>
      </c>
      <c r="T130" s="131">
        <f t="shared" si="13"/>
        <v>0</v>
      </c>
      <c r="U130" s="131">
        <f t="shared" si="14"/>
        <v>-151.76</v>
      </c>
      <c r="V130" s="118">
        <f t="shared" si="15"/>
        <v>122</v>
      </c>
    </row>
    <row r="131" spans="1:22" ht="15">
      <c r="A131" s="125" t="s">
        <v>211</v>
      </c>
      <c r="B131" s="126">
        <v>43622</v>
      </c>
      <c r="C131" s="127" t="s">
        <v>543</v>
      </c>
      <c r="D131" s="128">
        <v>580.8</v>
      </c>
      <c r="F131" s="121"/>
      <c r="K131" s="129">
        <v>43631</v>
      </c>
      <c r="M131" s="124">
        <f t="shared" si="8"/>
        <v>43633</v>
      </c>
      <c r="N131" s="122">
        <v>43633</v>
      </c>
      <c r="O131" s="97">
        <f t="shared" si="9"/>
        <v>-2</v>
      </c>
      <c r="P131" s="97">
        <f t="shared" si="10"/>
        <v>0</v>
      </c>
      <c r="Q131" s="97">
        <f t="shared" si="11"/>
        <v>2</v>
      </c>
      <c r="R131" s="97">
        <f t="shared" si="12"/>
        <v>-28</v>
      </c>
      <c r="S131" s="2">
        <v>29</v>
      </c>
      <c r="T131" s="131">
        <f t="shared" si="13"/>
        <v>0</v>
      </c>
      <c r="U131" s="131">
        <f t="shared" si="14"/>
        <v>-16262.399999999998</v>
      </c>
      <c r="V131" s="118">
        <f t="shared" si="15"/>
        <v>129</v>
      </c>
    </row>
    <row r="132" spans="1:22" ht="15">
      <c r="A132" s="125" t="s">
        <v>210</v>
      </c>
      <c r="B132" s="126">
        <v>43591</v>
      </c>
      <c r="C132" s="127" t="s">
        <v>544</v>
      </c>
      <c r="D132" s="128">
        <v>1161.6</v>
      </c>
      <c r="F132" s="121"/>
      <c r="K132" s="129">
        <v>43601</v>
      </c>
      <c r="M132" s="124">
        <f t="shared" si="8"/>
        <v>43614</v>
      </c>
      <c r="N132" s="122">
        <v>43614</v>
      </c>
      <c r="O132" s="97">
        <f t="shared" si="9"/>
        <v>-13</v>
      </c>
      <c r="P132" s="97">
        <f t="shared" si="10"/>
        <v>0</v>
      </c>
      <c r="Q132" s="97">
        <f t="shared" si="11"/>
        <v>13</v>
      </c>
      <c r="R132" s="97">
        <f t="shared" si="12"/>
        <v>-17</v>
      </c>
      <c r="S132" s="2">
        <v>29</v>
      </c>
      <c r="T132" s="131">
        <f t="shared" si="13"/>
        <v>0</v>
      </c>
      <c r="U132" s="131">
        <f t="shared" si="14"/>
        <v>-19747.199999999997</v>
      </c>
      <c r="V132" s="118">
        <f t="shared" si="15"/>
        <v>129</v>
      </c>
    </row>
    <row r="133" spans="1:22" ht="15">
      <c r="A133" s="125" t="s">
        <v>209</v>
      </c>
      <c r="B133" s="126">
        <v>43615</v>
      </c>
      <c r="C133" s="127" t="s">
        <v>545</v>
      </c>
      <c r="D133" s="128">
        <v>239</v>
      </c>
      <c r="F133" s="121"/>
      <c r="K133" s="129">
        <v>43626</v>
      </c>
      <c r="M133" s="124">
        <f t="shared" si="8"/>
        <v>43615</v>
      </c>
      <c r="N133" s="122">
        <v>43615</v>
      </c>
      <c r="O133" s="97">
        <f t="shared" si="9"/>
        <v>11</v>
      </c>
      <c r="P133" s="97">
        <f t="shared" si="10"/>
        <v>0</v>
      </c>
      <c r="Q133" s="97">
        <f t="shared" si="11"/>
        <v>-11</v>
      </c>
      <c r="R133" s="97">
        <f t="shared" si="12"/>
        <v>-41</v>
      </c>
      <c r="S133" s="2">
        <v>29</v>
      </c>
      <c r="T133" s="131">
        <f t="shared" si="13"/>
        <v>0</v>
      </c>
      <c r="U133" s="131">
        <f t="shared" si="14"/>
        <v>-9799</v>
      </c>
      <c r="V133" s="118">
        <f t="shared" si="15"/>
        <v>129</v>
      </c>
    </row>
    <row r="134" spans="1:22" ht="15">
      <c r="A134" s="125" t="s">
        <v>208</v>
      </c>
      <c r="B134" s="126">
        <v>43585</v>
      </c>
      <c r="C134" s="127" t="s">
        <v>546</v>
      </c>
      <c r="D134" s="128">
        <v>100.85</v>
      </c>
      <c r="F134" s="121"/>
      <c r="K134" s="129">
        <v>43599</v>
      </c>
      <c r="M134" s="124">
        <f aca="true" t="shared" si="16" ref="M134:M197">+N134</f>
        <v>43600</v>
      </c>
      <c r="N134" s="122">
        <v>43600</v>
      </c>
      <c r="O134" s="97">
        <f aca="true" t="shared" si="17" ref="O134:O197">+K134-M134</f>
        <v>-1</v>
      </c>
      <c r="P134" s="97">
        <f aca="true" t="shared" si="18" ref="P134:P197">+N134-M134</f>
        <v>0</v>
      </c>
      <c r="Q134" s="97">
        <f aca="true" t="shared" si="19" ref="Q134:Q197">+N134-K134</f>
        <v>1</v>
      </c>
      <c r="R134" s="97">
        <f aca="true" t="shared" si="20" ref="R134:R197">+Q134-30</f>
        <v>-29</v>
      </c>
      <c r="S134" s="2">
        <v>29</v>
      </c>
      <c r="T134" s="131">
        <f aca="true" t="shared" si="21" ref="T134:T197">+P134*D134</f>
        <v>0</v>
      </c>
      <c r="U134" s="131">
        <f aca="true" t="shared" si="22" ref="U134:U197">+R134*D134</f>
        <v>-2924.6499999999996</v>
      </c>
      <c r="V134" s="118">
        <f aca="true" t="shared" si="23" ref="V134:V197">IF(P134&gt;30,200+S134,100+S134)</f>
        <v>129</v>
      </c>
    </row>
    <row r="135" spans="1:22" ht="15">
      <c r="A135" s="125" t="s">
        <v>207</v>
      </c>
      <c r="B135" s="126">
        <v>43616</v>
      </c>
      <c r="C135" s="127" t="s">
        <v>547</v>
      </c>
      <c r="D135" s="128">
        <v>198.4</v>
      </c>
      <c r="F135" s="121"/>
      <c r="K135" s="129">
        <v>43620</v>
      </c>
      <c r="M135" s="124">
        <f t="shared" si="16"/>
        <v>43633</v>
      </c>
      <c r="N135" s="122">
        <v>43633</v>
      </c>
      <c r="O135" s="97">
        <f t="shared" si="17"/>
        <v>-13</v>
      </c>
      <c r="P135" s="97">
        <f t="shared" si="18"/>
        <v>0</v>
      </c>
      <c r="Q135" s="97">
        <f t="shared" si="19"/>
        <v>13</v>
      </c>
      <c r="R135" s="97">
        <f t="shared" si="20"/>
        <v>-17</v>
      </c>
      <c r="S135" s="2">
        <v>29</v>
      </c>
      <c r="T135" s="131">
        <f t="shared" si="21"/>
        <v>0</v>
      </c>
      <c r="U135" s="131">
        <f t="shared" si="22"/>
        <v>-3372.8</v>
      </c>
      <c r="V135" s="118">
        <f t="shared" si="23"/>
        <v>129</v>
      </c>
    </row>
    <row r="136" spans="1:22" ht="15">
      <c r="A136" s="125" t="s">
        <v>206</v>
      </c>
      <c r="B136" s="126">
        <v>43585</v>
      </c>
      <c r="C136" s="127" t="s">
        <v>548</v>
      </c>
      <c r="D136" s="128">
        <v>1464.06</v>
      </c>
      <c r="F136" s="121"/>
      <c r="K136" s="129">
        <v>43601</v>
      </c>
      <c r="M136" s="124">
        <f t="shared" si="16"/>
        <v>43588</v>
      </c>
      <c r="N136" s="122">
        <v>43588</v>
      </c>
      <c r="O136" s="97">
        <f t="shared" si="17"/>
        <v>13</v>
      </c>
      <c r="P136" s="97">
        <f t="shared" si="18"/>
        <v>0</v>
      </c>
      <c r="Q136" s="97">
        <f t="shared" si="19"/>
        <v>-13</v>
      </c>
      <c r="R136" s="97">
        <f t="shared" si="20"/>
        <v>-43</v>
      </c>
      <c r="S136" s="2">
        <v>29</v>
      </c>
      <c r="T136" s="131">
        <f t="shared" si="21"/>
        <v>0</v>
      </c>
      <c r="U136" s="131">
        <f t="shared" si="22"/>
        <v>-62954.579999999994</v>
      </c>
      <c r="V136" s="118">
        <f t="shared" si="23"/>
        <v>129</v>
      </c>
    </row>
    <row r="137" spans="1:22" ht="15">
      <c r="A137" s="125" t="s">
        <v>205</v>
      </c>
      <c r="B137" s="126">
        <v>43585</v>
      </c>
      <c r="C137" s="127" t="s">
        <v>549</v>
      </c>
      <c r="D137" s="128">
        <v>346.06</v>
      </c>
      <c r="F137" s="121"/>
      <c r="K137" s="129">
        <v>43607</v>
      </c>
      <c r="M137" s="124">
        <f t="shared" si="16"/>
        <v>43588</v>
      </c>
      <c r="N137" s="122">
        <v>43588</v>
      </c>
      <c r="O137" s="97">
        <f t="shared" si="17"/>
        <v>19</v>
      </c>
      <c r="P137" s="97">
        <f t="shared" si="18"/>
        <v>0</v>
      </c>
      <c r="Q137" s="97">
        <f t="shared" si="19"/>
        <v>-19</v>
      </c>
      <c r="R137" s="97">
        <f t="shared" si="20"/>
        <v>-49</v>
      </c>
      <c r="S137" s="2">
        <v>29</v>
      </c>
      <c r="T137" s="131">
        <f t="shared" si="21"/>
        <v>0</v>
      </c>
      <c r="U137" s="131">
        <f t="shared" si="22"/>
        <v>-16956.94</v>
      </c>
      <c r="V137" s="118">
        <f t="shared" si="23"/>
        <v>129</v>
      </c>
    </row>
    <row r="138" spans="1:22" ht="15">
      <c r="A138" s="125" t="s">
        <v>204</v>
      </c>
      <c r="B138" s="126">
        <v>43585</v>
      </c>
      <c r="C138" s="127" t="s">
        <v>550</v>
      </c>
      <c r="D138" s="128">
        <v>1108.17</v>
      </c>
      <c r="F138" s="121"/>
      <c r="K138" s="129">
        <v>43585</v>
      </c>
      <c r="M138" s="124">
        <f t="shared" si="16"/>
        <v>43588</v>
      </c>
      <c r="N138" s="122">
        <v>43588</v>
      </c>
      <c r="O138" s="97">
        <f t="shared" si="17"/>
        <v>-3</v>
      </c>
      <c r="P138" s="97">
        <f t="shared" si="18"/>
        <v>0</v>
      </c>
      <c r="Q138" s="97">
        <f t="shared" si="19"/>
        <v>3</v>
      </c>
      <c r="R138" s="97">
        <f t="shared" si="20"/>
        <v>-27</v>
      </c>
      <c r="S138" s="2">
        <v>29</v>
      </c>
      <c r="T138" s="131">
        <f t="shared" si="21"/>
        <v>0</v>
      </c>
      <c r="U138" s="131">
        <f t="shared" si="22"/>
        <v>-29920.590000000004</v>
      </c>
      <c r="V138" s="118">
        <f t="shared" si="23"/>
        <v>129</v>
      </c>
    </row>
    <row r="139" spans="1:22" ht="15">
      <c r="A139" s="125" t="s">
        <v>203</v>
      </c>
      <c r="B139" s="126">
        <v>43616</v>
      </c>
      <c r="C139" s="127" t="s">
        <v>551</v>
      </c>
      <c r="D139" s="128">
        <v>1464.06</v>
      </c>
      <c r="F139" s="121"/>
      <c r="K139" s="129">
        <v>43616</v>
      </c>
      <c r="M139" s="124">
        <f t="shared" si="16"/>
        <v>43619</v>
      </c>
      <c r="N139" s="122">
        <v>43619</v>
      </c>
      <c r="O139" s="97">
        <f t="shared" si="17"/>
        <v>-3</v>
      </c>
      <c r="P139" s="97">
        <f t="shared" si="18"/>
        <v>0</v>
      </c>
      <c r="Q139" s="97">
        <f t="shared" si="19"/>
        <v>3</v>
      </c>
      <c r="R139" s="97">
        <f t="shared" si="20"/>
        <v>-27</v>
      </c>
      <c r="S139" s="2">
        <v>29</v>
      </c>
      <c r="T139" s="131">
        <f t="shared" si="21"/>
        <v>0</v>
      </c>
      <c r="U139" s="131">
        <f t="shared" si="22"/>
        <v>-39529.619999999995</v>
      </c>
      <c r="V139" s="118">
        <f t="shared" si="23"/>
        <v>129</v>
      </c>
    </row>
    <row r="140" spans="1:22" ht="15">
      <c r="A140" s="125" t="s">
        <v>202</v>
      </c>
      <c r="B140" s="126">
        <v>43616</v>
      </c>
      <c r="C140" s="127" t="s">
        <v>552</v>
      </c>
      <c r="D140" s="128">
        <v>1108.17</v>
      </c>
      <c r="F140" s="121"/>
      <c r="K140" s="129">
        <v>43616</v>
      </c>
      <c r="M140" s="124">
        <f t="shared" si="16"/>
        <v>43619</v>
      </c>
      <c r="N140" s="122">
        <v>43619</v>
      </c>
      <c r="O140" s="97">
        <f t="shared" si="17"/>
        <v>-3</v>
      </c>
      <c r="P140" s="97">
        <f t="shared" si="18"/>
        <v>0</v>
      </c>
      <c r="Q140" s="97">
        <f t="shared" si="19"/>
        <v>3</v>
      </c>
      <c r="R140" s="97">
        <f t="shared" si="20"/>
        <v>-27</v>
      </c>
      <c r="S140" s="2">
        <v>29</v>
      </c>
      <c r="T140" s="131">
        <f t="shared" si="21"/>
        <v>0</v>
      </c>
      <c r="U140" s="131">
        <f t="shared" si="22"/>
        <v>-29920.590000000004</v>
      </c>
      <c r="V140" s="118">
        <f t="shared" si="23"/>
        <v>129</v>
      </c>
    </row>
    <row r="141" spans="1:22" ht="15">
      <c r="A141" s="125" t="s">
        <v>201</v>
      </c>
      <c r="B141" s="126">
        <v>43616</v>
      </c>
      <c r="C141" s="127" t="s">
        <v>553</v>
      </c>
      <c r="D141" s="128">
        <v>346.06</v>
      </c>
      <c r="F141" s="121"/>
      <c r="K141" s="129">
        <v>43616</v>
      </c>
      <c r="M141" s="124">
        <f t="shared" si="16"/>
        <v>43619</v>
      </c>
      <c r="N141" s="122">
        <v>43619</v>
      </c>
      <c r="O141" s="97">
        <f t="shared" si="17"/>
        <v>-3</v>
      </c>
      <c r="P141" s="97">
        <f t="shared" si="18"/>
        <v>0</v>
      </c>
      <c r="Q141" s="97">
        <f t="shared" si="19"/>
        <v>3</v>
      </c>
      <c r="R141" s="97">
        <f t="shared" si="20"/>
        <v>-27</v>
      </c>
      <c r="S141" s="2">
        <v>29</v>
      </c>
      <c r="T141" s="131">
        <f t="shared" si="21"/>
        <v>0</v>
      </c>
      <c r="U141" s="131">
        <f t="shared" si="22"/>
        <v>-9343.62</v>
      </c>
      <c r="V141" s="118">
        <f t="shared" si="23"/>
        <v>129</v>
      </c>
    </row>
    <row r="142" spans="1:22" ht="15">
      <c r="A142" s="125" t="s">
        <v>196</v>
      </c>
      <c r="B142" s="126">
        <v>43585</v>
      </c>
      <c r="C142" s="127" t="s">
        <v>558</v>
      </c>
      <c r="D142" s="128">
        <v>92.23</v>
      </c>
      <c r="F142" s="121"/>
      <c r="K142" s="129">
        <v>43592</v>
      </c>
      <c r="M142" s="124">
        <f t="shared" si="16"/>
        <v>43616</v>
      </c>
      <c r="N142" s="122">
        <v>43616</v>
      </c>
      <c r="O142" s="97">
        <f t="shared" si="17"/>
        <v>-24</v>
      </c>
      <c r="P142" s="97">
        <f t="shared" si="18"/>
        <v>0</v>
      </c>
      <c r="Q142" s="97">
        <f t="shared" si="19"/>
        <v>24</v>
      </c>
      <c r="R142" s="97">
        <f t="shared" si="20"/>
        <v>-6</v>
      </c>
      <c r="S142" s="2">
        <v>22</v>
      </c>
      <c r="T142" s="131">
        <f t="shared" si="21"/>
        <v>0</v>
      </c>
      <c r="U142" s="131">
        <f t="shared" si="22"/>
        <v>-553.38</v>
      </c>
      <c r="V142" s="118">
        <f t="shared" si="23"/>
        <v>122</v>
      </c>
    </row>
    <row r="143" spans="1:22" ht="15">
      <c r="A143" s="125" t="s">
        <v>195</v>
      </c>
      <c r="B143" s="126">
        <v>43585</v>
      </c>
      <c r="C143" s="127" t="s">
        <v>559</v>
      </c>
      <c r="D143" s="128">
        <v>83.42</v>
      </c>
      <c r="F143" s="121"/>
      <c r="K143" s="129">
        <v>43592</v>
      </c>
      <c r="M143" s="124">
        <f t="shared" si="16"/>
        <v>43616</v>
      </c>
      <c r="N143" s="122">
        <v>43616</v>
      </c>
      <c r="O143" s="97">
        <f t="shared" si="17"/>
        <v>-24</v>
      </c>
      <c r="P143" s="97">
        <f t="shared" si="18"/>
        <v>0</v>
      </c>
      <c r="Q143" s="97">
        <f t="shared" si="19"/>
        <v>24</v>
      </c>
      <c r="R143" s="97">
        <f t="shared" si="20"/>
        <v>-6</v>
      </c>
      <c r="S143" s="2">
        <v>22</v>
      </c>
      <c r="T143" s="131">
        <f t="shared" si="21"/>
        <v>0</v>
      </c>
      <c r="U143" s="131">
        <f t="shared" si="22"/>
        <v>-500.52</v>
      </c>
      <c r="V143" s="118">
        <f t="shared" si="23"/>
        <v>122</v>
      </c>
    </row>
    <row r="144" spans="1:22" ht="15">
      <c r="A144" s="125" t="s">
        <v>194</v>
      </c>
      <c r="B144" s="126">
        <v>43585</v>
      </c>
      <c r="C144" s="127" t="s">
        <v>560</v>
      </c>
      <c r="D144" s="128">
        <v>492.36</v>
      </c>
      <c r="F144" s="121"/>
      <c r="K144" s="129">
        <v>43593</v>
      </c>
      <c r="M144" s="124">
        <f t="shared" si="16"/>
        <v>43616</v>
      </c>
      <c r="N144" s="122">
        <v>43616</v>
      </c>
      <c r="O144" s="97">
        <f t="shared" si="17"/>
        <v>-23</v>
      </c>
      <c r="P144" s="97">
        <f t="shared" si="18"/>
        <v>0</v>
      </c>
      <c r="Q144" s="97">
        <f t="shared" si="19"/>
        <v>23</v>
      </c>
      <c r="R144" s="97">
        <f t="shared" si="20"/>
        <v>-7</v>
      </c>
      <c r="S144" s="2">
        <v>22</v>
      </c>
      <c r="T144" s="131">
        <f t="shared" si="21"/>
        <v>0</v>
      </c>
      <c r="U144" s="131">
        <f t="shared" si="22"/>
        <v>-3446.52</v>
      </c>
      <c r="V144" s="118">
        <f t="shared" si="23"/>
        <v>122</v>
      </c>
    </row>
    <row r="145" spans="1:22" ht="15">
      <c r="A145" s="125" t="s">
        <v>190</v>
      </c>
      <c r="B145" s="126">
        <v>43585</v>
      </c>
      <c r="C145" s="127" t="s">
        <v>382</v>
      </c>
      <c r="D145" s="128">
        <v>2808</v>
      </c>
      <c r="F145" s="121"/>
      <c r="K145" s="129">
        <v>43585</v>
      </c>
      <c r="M145" s="124">
        <f t="shared" si="16"/>
        <v>43585</v>
      </c>
      <c r="N145" s="122">
        <v>43585</v>
      </c>
      <c r="O145" s="97">
        <f t="shared" si="17"/>
        <v>0</v>
      </c>
      <c r="P145" s="97">
        <f t="shared" si="18"/>
        <v>0</v>
      </c>
      <c r="Q145" s="97">
        <f t="shared" si="19"/>
        <v>0</v>
      </c>
      <c r="R145" s="97">
        <f t="shared" si="20"/>
        <v>-30</v>
      </c>
      <c r="S145" s="2">
        <v>29</v>
      </c>
      <c r="T145" s="131">
        <f t="shared" si="21"/>
        <v>0</v>
      </c>
      <c r="U145" s="131">
        <f t="shared" si="22"/>
        <v>-84240</v>
      </c>
      <c r="V145" s="118">
        <f t="shared" si="23"/>
        <v>129</v>
      </c>
    </row>
    <row r="146" spans="1:22" ht="15">
      <c r="A146" s="125" t="s">
        <v>189</v>
      </c>
      <c r="B146" s="126">
        <v>43616</v>
      </c>
      <c r="C146" s="127" t="s">
        <v>383</v>
      </c>
      <c r="D146" s="128">
        <v>4752</v>
      </c>
      <c r="F146" s="121"/>
      <c r="K146" s="129">
        <v>43616</v>
      </c>
      <c r="M146" s="124">
        <f t="shared" si="16"/>
        <v>43616</v>
      </c>
      <c r="N146" s="122">
        <v>43616</v>
      </c>
      <c r="O146" s="97">
        <f t="shared" si="17"/>
        <v>0</v>
      </c>
      <c r="P146" s="97">
        <f t="shared" si="18"/>
        <v>0</v>
      </c>
      <c r="Q146" s="97">
        <f t="shared" si="19"/>
        <v>0</v>
      </c>
      <c r="R146" s="97">
        <f t="shared" si="20"/>
        <v>-30</v>
      </c>
      <c r="S146" s="2">
        <v>29</v>
      </c>
      <c r="T146" s="131">
        <f t="shared" si="21"/>
        <v>0</v>
      </c>
      <c r="U146" s="131">
        <f t="shared" si="22"/>
        <v>-142560</v>
      </c>
      <c r="V146" s="118">
        <f t="shared" si="23"/>
        <v>129</v>
      </c>
    </row>
    <row r="147" spans="1:22" ht="15">
      <c r="A147" s="125" t="s">
        <v>187</v>
      </c>
      <c r="B147" s="126">
        <v>43607</v>
      </c>
      <c r="C147" s="127" t="s">
        <v>564</v>
      </c>
      <c r="D147" s="128">
        <v>121.22</v>
      </c>
      <c r="F147" s="121"/>
      <c r="K147" s="129">
        <v>43628</v>
      </c>
      <c r="M147" s="124">
        <f t="shared" si="16"/>
        <v>43643</v>
      </c>
      <c r="N147" s="122">
        <v>43643</v>
      </c>
      <c r="O147" s="97">
        <f t="shared" si="17"/>
        <v>-15</v>
      </c>
      <c r="P147" s="97">
        <f t="shared" si="18"/>
        <v>0</v>
      </c>
      <c r="Q147" s="97">
        <f t="shared" si="19"/>
        <v>15</v>
      </c>
      <c r="R147" s="97">
        <f t="shared" si="20"/>
        <v>-15</v>
      </c>
      <c r="S147" s="2">
        <v>29</v>
      </c>
      <c r="T147" s="131">
        <f t="shared" si="21"/>
        <v>0</v>
      </c>
      <c r="U147" s="131">
        <f t="shared" si="22"/>
        <v>-1818.3</v>
      </c>
      <c r="V147" s="118">
        <f t="shared" si="23"/>
        <v>129</v>
      </c>
    </row>
    <row r="148" spans="1:22" ht="15">
      <c r="A148" s="125" t="s">
        <v>186</v>
      </c>
      <c r="B148" s="126">
        <v>43607</v>
      </c>
      <c r="C148" s="127" t="s">
        <v>565</v>
      </c>
      <c r="D148" s="128">
        <v>121.22</v>
      </c>
      <c r="F148" s="121"/>
      <c r="K148" s="129">
        <v>43628</v>
      </c>
      <c r="M148" s="124">
        <f t="shared" si="16"/>
        <v>43643</v>
      </c>
      <c r="N148" s="122">
        <v>43643</v>
      </c>
      <c r="O148" s="97">
        <f t="shared" si="17"/>
        <v>-15</v>
      </c>
      <c r="P148" s="97">
        <f t="shared" si="18"/>
        <v>0</v>
      </c>
      <c r="Q148" s="97">
        <f t="shared" si="19"/>
        <v>15</v>
      </c>
      <c r="R148" s="97">
        <f t="shared" si="20"/>
        <v>-15</v>
      </c>
      <c r="S148" s="2">
        <v>29</v>
      </c>
      <c r="T148" s="131">
        <f t="shared" si="21"/>
        <v>0</v>
      </c>
      <c r="U148" s="131">
        <f t="shared" si="22"/>
        <v>-1818.3</v>
      </c>
      <c r="V148" s="118">
        <f t="shared" si="23"/>
        <v>129</v>
      </c>
    </row>
    <row r="149" spans="1:22" ht="15">
      <c r="A149" s="125" t="s">
        <v>185</v>
      </c>
      <c r="B149" s="126">
        <v>43595</v>
      </c>
      <c r="C149" s="127" t="s">
        <v>566</v>
      </c>
      <c r="D149" s="128">
        <v>176</v>
      </c>
      <c r="F149" s="121"/>
      <c r="K149" s="129">
        <v>43595</v>
      </c>
      <c r="M149" s="124">
        <f t="shared" si="16"/>
        <v>43643</v>
      </c>
      <c r="N149" s="122">
        <v>43643</v>
      </c>
      <c r="O149" s="97">
        <f t="shared" si="17"/>
        <v>-48</v>
      </c>
      <c r="P149" s="97">
        <f t="shared" si="18"/>
        <v>0</v>
      </c>
      <c r="Q149" s="97">
        <f t="shared" si="19"/>
        <v>48</v>
      </c>
      <c r="R149" s="97">
        <f t="shared" si="20"/>
        <v>18</v>
      </c>
      <c r="S149" s="2">
        <v>29</v>
      </c>
      <c r="T149" s="131">
        <f t="shared" si="21"/>
        <v>0</v>
      </c>
      <c r="U149" s="131">
        <f t="shared" si="22"/>
        <v>3168</v>
      </c>
      <c r="V149" s="118">
        <f t="shared" si="23"/>
        <v>129</v>
      </c>
    </row>
    <row r="150" spans="1:22" ht="15">
      <c r="A150" s="125" t="s">
        <v>184</v>
      </c>
      <c r="B150" s="126">
        <v>43567</v>
      </c>
      <c r="C150" s="127" t="s">
        <v>567</v>
      </c>
      <c r="D150" s="128">
        <v>560.07</v>
      </c>
      <c r="K150" s="129">
        <v>43588</v>
      </c>
      <c r="M150" s="124">
        <f t="shared" si="16"/>
        <v>43600</v>
      </c>
      <c r="N150" s="124">
        <v>43600</v>
      </c>
      <c r="O150" s="97">
        <f t="shared" si="17"/>
        <v>-12</v>
      </c>
      <c r="P150" s="97">
        <f t="shared" si="18"/>
        <v>0</v>
      </c>
      <c r="Q150" s="97">
        <f t="shared" si="19"/>
        <v>12</v>
      </c>
      <c r="R150" s="97">
        <f t="shared" si="20"/>
        <v>-18</v>
      </c>
      <c r="S150" s="2">
        <v>29</v>
      </c>
      <c r="T150" s="131">
        <f t="shared" si="21"/>
        <v>0</v>
      </c>
      <c r="U150" s="131">
        <f t="shared" si="22"/>
        <v>-10081.26</v>
      </c>
      <c r="V150" s="118">
        <f t="shared" si="23"/>
        <v>129</v>
      </c>
    </row>
    <row r="151" spans="1:22" ht="15">
      <c r="A151" s="125" t="s">
        <v>183</v>
      </c>
      <c r="B151" s="126">
        <v>43567</v>
      </c>
      <c r="C151" s="127" t="s">
        <v>568</v>
      </c>
      <c r="D151" s="128">
        <v>629.27</v>
      </c>
      <c r="K151" s="129">
        <v>43588</v>
      </c>
      <c r="M151" s="124">
        <f t="shared" si="16"/>
        <v>43600</v>
      </c>
      <c r="N151" s="124">
        <v>43600</v>
      </c>
      <c r="O151" s="97">
        <f t="shared" si="17"/>
        <v>-12</v>
      </c>
      <c r="P151" s="97">
        <f t="shared" si="18"/>
        <v>0</v>
      </c>
      <c r="Q151" s="97">
        <f t="shared" si="19"/>
        <v>12</v>
      </c>
      <c r="R151" s="97">
        <f t="shared" si="20"/>
        <v>-18</v>
      </c>
      <c r="S151" s="2">
        <v>29</v>
      </c>
      <c r="T151" s="131">
        <f t="shared" si="21"/>
        <v>0</v>
      </c>
      <c r="U151" s="131">
        <f t="shared" si="22"/>
        <v>-11326.86</v>
      </c>
      <c r="V151" s="118">
        <f t="shared" si="23"/>
        <v>129</v>
      </c>
    </row>
    <row r="152" spans="1:22" ht="15">
      <c r="A152" s="125" t="s">
        <v>182</v>
      </c>
      <c r="B152" s="126">
        <v>43596</v>
      </c>
      <c r="C152" s="127" t="s">
        <v>569</v>
      </c>
      <c r="D152" s="128">
        <v>384.1</v>
      </c>
      <c r="K152" s="129">
        <v>43608</v>
      </c>
      <c r="M152" s="124">
        <f t="shared" si="16"/>
        <v>43614</v>
      </c>
      <c r="N152" s="124">
        <v>43614</v>
      </c>
      <c r="O152" s="97">
        <f t="shared" si="17"/>
        <v>-6</v>
      </c>
      <c r="P152" s="97">
        <f t="shared" si="18"/>
        <v>0</v>
      </c>
      <c r="Q152" s="97">
        <f t="shared" si="19"/>
        <v>6</v>
      </c>
      <c r="R152" s="97">
        <f t="shared" si="20"/>
        <v>-24</v>
      </c>
      <c r="S152" s="2">
        <v>29</v>
      </c>
      <c r="T152" s="131">
        <f t="shared" si="21"/>
        <v>0</v>
      </c>
      <c r="U152" s="131">
        <f t="shared" si="22"/>
        <v>-9218.400000000001</v>
      </c>
      <c r="V152" s="118">
        <f t="shared" si="23"/>
        <v>129</v>
      </c>
    </row>
    <row r="153" spans="1:22" ht="15">
      <c r="A153" s="125" t="s">
        <v>181</v>
      </c>
      <c r="B153" s="126">
        <v>43617</v>
      </c>
      <c r="C153" s="127" t="s">
        <v>570</v>
      </c>
      <c r="D153" s="128">
        <v>281.24</v>
      </c>
      <c r="K153" s="129">
        <v>43628</v>
      </c>
      <c r="M153" s="124">
        <f t="shared" si="16"/>
        <v>43633</v>
      </c>
      <c r="N153" s="124">
        <v>43633</v>
      </c>
      <c r="O153" s="97">
        <f t="shared" si="17"/>
        <v>-5</v>
      </c>
      <c r="P153" s="97">
        <f t="shared" si="18"/>
        <v>0</v>
      </c>
      <c r="Q153" s="97">
        <f t="shared" si="19"/>
        <v>5</v>
      </c>
      <c r="R153" s="97">
        <f t="shared" si="20"/>
        <v>-25</v>
      </c>
      <c r="S153" s="2">
        <v>29</v>
      </c>
      <c r="T153" s="131">
        <f t="shared" si="21"/>
        <v>0</v>
      </c>
      <c r="U153" s="131">
        <f t="shared" si="22"/>
        <v>-7031</v>
      </c>
      <c r="V153" s="118">
        <f t="shared" si="23"/>
        <v>129</v>
      </c>
    </row>
    <row r="154" spans="1:22" ht="15">
      <c r="A154" s="125" t="s">
        <v>180</v>
      </c>
      <c r="B154" s="126">
        <v>43581</v>
      </c>
      <c r="C154" s="127" t="s">
        <v>571</v>
      </c>
      <c r="D154" s="128">
        <v>634.32</v>
      </c>
      <c r="K154" s="129">
        <v>43601</v>
      </c>
      <c r="M154" s="124">
        <f t="shared" si="16"/>
        <v>43612</v>
      </c>
      <c r="N154" s="124">
        <v>43612</v>
      </c>
      <c r="O154" s="97">
        <f t="shared" si="17"/>
        <v>-11</v>
      </c>
      <c r="P154" s="97">
        <f t="shared" si="18"/>
        <v>0</v>
      </c>
      <c r="Q154" s="97">
        <f t="shared" si="19"/>
        <v>11</v>
      </c>
      <c r="R154" s="97">
        <f t="shared" si="20"/>
        <v>-19</v>
      </c>
      <c r="S154" s="2">
        <v>21</v>
      </c>
      <c r="T154" s="131">
        <f t="shared" si="21"/>
        <v>0</v>
      </c>
      <c r="U154" s="131">
        <f t="shared" si="22"/>
        <v>-12052.080000000002</v>
      </c>
      <c r="V154" s="118">
        <f t="shared" si="23"/>
        <v>121</v>
      </c>
    </row>
    <row r="155" spans="1:22" ht="15">
      <c r="A155" s="125" t="s">
        <v>179</v>
      </c>
      <c r="B155" s="126">
        <v>43612</v>
      </c>
      <c r="C155" s="127" t="s">
        <v>572</v>
      </c>
      <c r="D155" s="128">
        <v>691.7</v>
      </c>
      <c r="K155" s="129">
        <v>43628</v>
      </c>
      <c r="M155" s="124">
        <f t="shared" si="16"/>
        <v>43642</v>
      </c>
      <c r="N155" s="124">
        <v>43642</v>
      </c>
      <c r="O155" s="97">
        <f t="shared" si="17"/>
        <v>-14</v>
      </c>
      <c r="P155" s="97">
        <f t="shared" si="18"/>
        <v>0</v>
      </c>
      <c r="Q155" s="97">
        <f t="shared" si="19"/>
        <v>14</v>
      </c>
      <c r="R155" s="97">
        <f t="shared" si="20"/>
        <v>-16</v>
      </c>
      <c r="S155" s="2">
        <v>21</v>
      </c>
      <c r="T155" s="131">
        <f t="shared" si="21"/>
        <v>0</v>
      </c>
      <c r="U155" s="131">
        <f t="shared" si="22"/>
        <v>-11067.2</v>
      </c>
      <c r="V155" s="118">
        <f t="shared" si="23"/>
        <v>121</v>
      </c>
    </row>
    <row r="156" spans="1:22" ht="15">
      <c r="A156" s="125" t="s">
        <v>176</v>
      </c>
      <c r="B156" s="126">
        <v>43612</v>
      </c>
      <c r="C156" s="127" t="s">
        <v>575</v>
      </c>
      <c r="D156" s="128">
        <v>2230</v>
      </c>
      <c r="K156" s="129">
        <v>43633</v>
      </c>
      <c r="M156" s="124">
        <f t="shared" si="16"/>
        <v>43633</v>
      </c>
      <c r="N156" s="124">
        <v>43633</v>
      </c>
      <c r="O156" s="97">
        <f t="shared" si="17"/>
        <v>0</v>
      </c>
      <c r="P156" s="97">
        <f t="shared" si="18"/>
        <v>0</v>
      </c>
      <c r="Q156" s="97">
        <f t="shared" si="19"/>
        <v>0</v>
      </c>
      <c r="R156" s="97">
        <f t="shared" si="20"/>
        <v>-30</v>
      </c>
      <c r="S156" s="2">
        <v>29</v>
      </c>
      <c r="T156" s="131">
        <f t="shared" si="21"/>
        <v>0</v>
      </c>
      <c r="U156" s="131">
        <f t="shared" si="22"/>
        <v>-66900</v>
      </c>
      <c r="V156" s="118">
        <f t="shared" si="23"/>
        <v>129</v>
      </c>
    </row>
    <row r="157" spans="1:22" ht="15">
      <c r="A157" s="125" t="s">
        <v>174</v>
      </c>
      <c r="B157" s="126">
        <v>43585</v>
      </c>
      <c r="C157" s="127" t="s">
        <v>577</v>
      </c>
      <c r="D157" s="128">
        <v>189.35</v>
      </c>
      <c r="K157" s="129">
        <v>43601</v>
      </c>
      <c r="M157" s="124">
        <f t="shared" si="16"/>
        <v>43591</v>
      </c>
      <c r="N157" s="124">
        <v>43591</v>
      </c>
      <c r="O157" s="97">
        <f t="shared" si="17"/>
        <v>10</v>
      </c>
      <c r="P157" s="97">
        <f t="shared" si="18"/>
        <v>0</v>
      </c>
      <c r="Q157" s="97">
        <f t="shared" si="19"/>
        <v>-10</v>
      </c>
      <c r="R157" s="97">
        <f t="shared" si="20"/>
        <v>-40</v>
      </c>
      <c r="S157" s="2">
        <v>29</v>
      </c>
      <c r="T157" s="131">
        <f t="shared" si="21"/>
        <v>0</v>
      </c>
      <c r="U157" s="131">
        <f t="shared" si="22"/>
        <v>-7574</v>
      </c>
      <c r="V157" s="118">
        <f t="shared" si="23"/>
        <v>129</v>
      </c>
    </row>
    <row r="158" spans="1:22" ht="15">
      <c r="A158" s="125" t="s">
        <v>172</v>
      </c>
      <c r="B158" s="126">
        <v>43616</v>
      </c>
      <c r="C158" s="127" t="s">
        <v>579</v>
      </c>
      <c r="D158" s="128">
        <v>99.7</v>
      </c>
      <c r="K158" s="129">
        <v>43616</v>
      </c>
      <c r="M158" s="124">
        <f t="shared" si="16"/>
        <v>43622</v>
      </c>
      <c r="N158" s="124">
        <v>43622</v>
      </c>
      <c r="O158" s="97">
        <f t="shared" si="17"/>
        <v>-6</v>
      </c>
      <c r="P158" s="97">
        <f t="shared" si="18"/>
        <v>0</v>
      </c>
      <c r="Q158" s="97">
        <f t="shared" si="19"/>
        <v>6</v>
      </c>
      <c r="R158" s="97">
        <f t="shared" si="20"/>
        <v>-24</v>
      </c>
      <c r="S158" s="2">
        <v>29</v>
      </c>
      <c r="T158" s="131">
        <f t="shared" si="21"/>
        <v>0</v>
      </c>
      <c r="U158" s="131">
        <f t="shared" si="22"/>
        <v>-2392.8</v>
      </c>
      <c r="V158" s="118">
        <f t="shared" si="23"/>
        <v>129</v>
      </c>
    </row>
    <row r="159" spans="1:22" ht="15">
      <c r="A159" s="125" t="s">
        <v>171</v>
      </c>
      <c r="B159" s="126">
        <v>43570</v>
      </c>
      <c r="C159" s="127" t="s">
        <v>580</v>
      </c>
      <c r="D159" s="128">
        <v>21</v>
      </c>
      <c r="K159" s="129">
        <v>43570</v>
      </c>
      <c r="M159" s="124">
        <f t="shared" si="16"/>
        <v>43572</v>
      </c>
      <c r="N159" s="124">
        <v>43572</v>
      </c>
      <c r="O159" s="97">
        <f t="shared" si="17"/>
        <v>-2</v>
      </c>
      <c r="P159" s="97">
        <f t="shared" si="18"/>
        <v>0</v>
      </c>
      <c r="Q159" s="97">
        <f t="shared" si="19"/>
        <v>2</v>
      </c>
      <c r="R159" s="97">
        <f t="shared" si="20"/>
        <v>-28</v>
      </c>
      <c r="S159" s="2">
        <v>21</v>
      </c>
      <c r="T159" s="131">
        <f t="shared" si="21"/>
        <v>0</v>
      </c>
      <c r="U159" s="131">
        <f t="shared" si="22"/>
        <v>-588</v>
      </c>
      <c r="V159" s="118">
        <f t="shared" si="23"/>
        <v>121</v>
      </c>
    </row>
    <row r="160" spans="1:22" ht="15">
      <c r="A160" s="125" t="s">
        <v>170</v>
      </c>
      <c r="B160" s="126">
        <v>43570</v>
      </c>
      <c r="C160" s="127" t="s">
        <v>581</v>
      </c>
      <c r="D160" s="128">
        <v>39.4</v>
      </c>
      <c r="K160" s="129">
        <v>43570</v>
      </c>
      <c r="M160" s="124">
        <f t="shared" si="16"/>
        <v>43572</v>
      </c>
      <c r="N160" s="124">
        <v>43572</v>
      </c>
      <c r="O160" s="97">
        <f t="shared" si="17"/>
        <v>-2</v>
      </c>
      <c r="P160" s="97">
        <f t="shared" si="18"/>
        <v>0</v>
      </c>
      <c r="Q160" s="97">
        <f t="shared" si="19"/>
        <v>2</v>
      </c>
      <c r="R160" s="97">
        <f t="shared" si="20"/>
        <v>-28</v>
      </c>
      <c r="S160" s="2">
        <v>21</v>
      </c>
      <c r="T160" s="131">
        <f t="shared" si="21"/>
        <v>0</v>
      </c>
      <c r="U160" s="131">
        <f t="shared" si="22"/>
        <v>-1103.2</v>
      </c>
      <c r="V160" s="118">
        <f t="shared" si="23"/>
        <v>121</v>
      </c>
    </row>
    <row r="161" spans="1:22" ht="15">
      <c r="A161" s="125" t="s">
        <v>169</v>
      </c>
      <c r="B161" s="126">
        <v>43600</v>
      </c>
      <c r="C161" s="127" t="s">
        <v>582</v>
      </c>
      <c r="D161" s="128">
        <v>21</v>
      </c>
      <c r="K161" s="129">
        <v>43600</v>
      </c>
      <c r="M161" s="124">
        <f t="shared" si="16"/>
        <v>43606</v>
      </c>
      <c r="N161" s="124">
        <v>43606</v>
      </c>
      <c r="O161" s="97">
        <f t="shared" si="17"/>
        <v>-6</v>
      </c>
      <c r="P161" s="97">
        <f t="shared" si="18"/>
        <v>0</v>
      </c>
      <c r="Q161" s="97">
        <f t="shared" si="19"/>
        <v>6</v>
      </c>
      <c r="R161" s="97">
        <f t="shared" si="20"/>
        <v>-24</v>
      </c>
      <c r="S161" s="2">
        <v>21</v>
      </c>
      <c r="T161" s="131">
        <f t="shared" si="21"/>
        <v>0</v>
      </c>
      <c r="U161" s="131">
        <f t="shared" si="22"/>
        <v>-504</v>
      </c>
      <c r="V161" s="118">
        <f t="shared" si="23"/>
        <v>121</v>
      </c>
    </row>
    <row r="162" spans="1:22" ht="15">
      <c r="A162" s="125" t="s">
        <v>168</v>
      </c>
      <c r="B162" s="126">
        <v>43600</v>
      </c>
      <c r="C162" s="127" t="s">
        <v>583</v>
      </c>
      <c r="D162" s="128">
        <v>39.4</v>
      </c>
      <c r="K162" s="129">
        <v>43600</v>
      </c>
      <c r="M162" s="124">
        <f t="shared" si="16"/>
        <v>43606</v>
      </c>
      <c r="N162" s="124">
        <v>43606</v>
      </c>
      <c r="O162" s="97">
        <f t="shared" si="17"/>
        <v>-6</v>
      </c>
      <c r="P162" s="97">
        <f t="shared" si="18"/>
        <v>0</v>
      </c>
      <c r="Q162" s="97">
        <f t="shared" si="19"/>
        <v>6</v>
      </c>
      <c r="R162" s="97">
        <f t="shared" si="20"/>
        <v>-24</v>
      </c>
      <c r="S162" s="2">
        <v>21</v>
      </c>
      <c r="T162" s="131">
        <f t="shared" si="21"/>
        <v>0</v>
      </c>
      <c r="U162" s="131">
        <f t="shared" si="22"/>
        <v>-945.5999999999999</v>
      </c>
      <c r="V162" s="118">
        <f t="shared" si="23"/>
        <v>121</v>
      </c>
    </row>
    <row r="163" spans="1:22" ht="15">
      <c r="A163" s="125" t="s">
        <v>167</v>
      </c>
      <c r="B163" s="126">
        <v>43631</v>
      </c>
      <c r="C163" s="127" t="s">
        <v>584</v>
      </c>
      <c r="D163" s="128">
        <v>21</v>
      </c>
      <c r="K163" s="129">
        <v>43631</v>
      </c>
      <c r="M163" s="124">
        <f t="shared" si="16"/>
        <v>43637</v>
      </c>
      <c r="N163" s="124">
        <v>43637</v>
      </c>
      <c r="O163" s="97">
        <f t="shared" si="17"/>
        <v>-6</v>
      </c>
      <c r="P163" s="97">
        <f t="shared" si="18"/>
        <v>0</v>
      </c>
      <c r="Q163" s="97">
        <f t="shared" si="19"/>
        <v>6</v>
      </c>
      <c r="R163" s="97">
        <f t="shared" si="20"/>
        <v>-24</v>
      </c>
      <c r="S163" s="2">
        <v>21</v>
      </c>
      <c r="T163" s="131">
        <f t="shared" si="21"/>
        <v>0</v>
      </c>
      <c r="U163" s="131">
        <f t="shared" si="22"/>
        <v>-504</v>
      </c>
      <c r="V163" s="118">
        <f t="shared" si="23"/>
        <v>121</v>
      </c>
    </row>
    <row r="164" spans="1:22" ht="15">
      <c r="A164" s="125" t="s">
        <v>166</v>
      </c>
      <c r="B164" s="126">
        <v>43631</v>
      </c>
      <c r="C164" s="127" t="s">
        <v>585</v>
      </c>
      <c r="D164" s="128">
        <v>39.4</v>
      </c>
      <c r="K164" s="129">
        <v>43631</v>
      </c>
      <c r="M164" s="124">
        <f t="shared" si="16"/>
        <v>43637</v>
      </c>
      <c r="N164" s="124">
        <v>43637</v>
      </c>
      <c r="O164" s="97">
        <f t="shared" si="17"/>
        <v>-6</v>
      </c>
      <c r="P164" s="97">
        <f t="shared" si="18"/>
        <v>0</v>
      </c>
      <c r="Q164" s="97">
        <f t="shared" si="19"/>
        <v>6</v>
      </c>
      <c r="R164" s="97">
        <f t="shared" si="20"/>
        <v>-24</v>
      </c>
      <c r="S164" s="2">
        <v>21</v>
      </c>
      <c r="T164" s="131">
        <f t="shared" si="21"/>
        <v>0</v>
      </c>
      <c r="U164" s="131">
        <f t="shared" si="22"/>
        <v>-945.5999999999999</v>
      </c>
      <c r="V164" s="118">
        <f t="shared" si="23"/>
        <v>121</v>
      </c>
    </row>
    <row r="165" spans="1:22" ht="15">
      <c r="A165" s="125" t="s">
        <v>165</v>
      </c>
      <c r="B165" s="126">
        <v>43556</v>
      </c>
      <c r="C165" s="127" t="s">
        <v>586</v>
      </c>
      <c r="D165" s="128">
        <v>161.75</v>
      </c>
      <c r="K165" s="129">
        <v>43556</v>
      </c>
      <c r="M165" s="124">
        <f t="shared" si="16"/>
        <v>43556</v>
      </c>
      <c r="N165" s="124">
        <v>43556</v>
      </c>
      <c r="O165" s="97">
        <f t="shared" si="17"/>
        <v>0</v>
      </c>
      <c r="P165" s="97">
        <f t="shared" si="18"/>
        <v>0</v>
      </c>
      <c r="Q165" s="97">
        <f t="shared" si="19"/>
        <v>0</v>
      </c>
      <c r="R165" s="97">
        <f t="shared" si="20"/>
        <v>-30</v>
      </c>
      <c r="S165" s="2">
        <v>29</v>
      </c>
      <c r="T165" s="131">
        <f t="shared" si="21"/>
        <v>0</v>
      </c>
      <c r="U165" s="131">
        <f t="shared" si="22"/>
        <v>-4852.5</v>
      </c>
      <c r="V165" s="118">
        <f t="shared" si="23"/>
        <v>129</v>
      </c>
    </row>
    <row r="166" spans="1:22" ht="15">
      <c r="A166" s="125" t="s">
        <v>164</v>
      </c>
      <c r="B166" s="126">
        <v>43574</v>
      </c>
      <c r="C166" s="127" t="s">
        <v>587</v>
      </c>
      <c r="D166" s="128">
        <v>65.39</v>
      </c>
      <c r="K166" s="129">
        <v>43574</v>
      </c>
      <c r="M166" s="124">
        <f t="shared" si="16"/>
        <v>43578</v>
      </c>
      <c r="N166" s="124">
        <v>43578</v>
      </c>
      <c r="O166" s="97">
        <f t="shared" si="17"/>
        <v>-4</v>
      </c>
      <c r="P166" s="97">
        <f t="shared" si="18"/>
        <v>0</v>
      </c>
      <c r="Q166" s="97">
        <f t="shared" si="19"/>
        <v>4</v>
      </c>
      <c r="R166" s="97">
        <f t="shared" si="20"/>
        <v>-26</v>
      </c>
      <c r="S166" s="2">
        <v>29</v>
      </c>
      <c r="T166" s="131">
        <f t="shared" si="21"/>
        <v>0</v>
      </c>
      <c r="U166" s="131">
        <f t="shared" si="22"/>
        <v>-1700.14</v>
      </c>
      <c r="V166" s="118">
        <f t="shared" si="23"/>
        <v>129</v>
      </c>
    </row>
    <row r="167" spans="1:22" ht="15">
      <c r="A167" s="125" t="s">
        <v>163</v>
      </c>
      <c r="B167" s="126">
        <v>43617</v>
      </c>
      <c r="C167" s="127" t="s">
        <v>588</v>
      </c>
      <c r="D167" s="128">
        <v>46.34</v>
      </c>
      <c r="K167" s="129">
        <v>43617</v>
      </c>
      <c r="M167" s="124">
        <f t="shared" si="16"/>
        <v>43619</v>
      </c>
      <c r="N167" s="124">
        <v>43619</v>
      </c>
      <c r="O167" s="97">
        <f t="shared" si="17"/>
        <v>-2</v>
      </c>
      <c r="P167" s="97">
        <f t="shared" si="18"/>
        <v>0</v>
      </c>
      <c r="Q167" s="97">
        <f t="shared" si="19"/>
        <v>2</v>
      </c>
      <c r="R167" s="97">
        <f t="shared" si="20"/>
        <v>-28</v>
      </c>
      <c r="S167" s="2">
        <v>29</v>
      </c>
      <c r="T167" s="131">
        <f t="shared" si="21"/>
        <v>0</v>
      </c>
      <c r="U167" s="131">
        <f t="shared" si="22"/>
        <v>-1297.52</v>
      </c>
      <c r="V167" s="118">
        <f t="shared" si="23"/>
        <v>129</v>
      </c>
    </row>
    <row r="168" spans="1:22" ht="15">
      <c r="A168" s="125" t="s">
        <v>162</v>
      </c>
      <c r="B168" s="126">
        <v>43586</v>
      </c>
      <c r="C168" s="127" t="s">
        <v>589</v>
      </c>
      <c r="D168" s="128">
        <v>50.81</v>
      </c>
      <c r="K168" s="129">
        <v>43586</v>
      </c>
      <c r="M168" s="124">
        <f t="shared" si="16"/>
        <v>43587</v>
      </c>
      <c r="N168" s="124">
        <v>43587</v>
      </c>
      <c r="O168" s="97">
        <f t="shared" si="17"/>
        <v>-1</v>
      </c>
      <c r="P168" s="97">
        <f t="shared" si="18"/>
        <v>0</v>
      </c>
      <c r="Q168" s="97">
        <f t="shared" si="19"/>
        <v>1</v>
      </c>
      <c r="R168" s="97">
        <f t="shared" si="20"/>
        <v>-29</v>
      </c>
      <c r="S168" s="2">
        <v>29</v>
      </c>
      <c r="T168" s="131">
        <f t="shared" si="21"/>
        <v>0</v>
      </c>
      <c r="U168" s="131">
        <f t="shared" si="22"/>
        <v>-1473.49</v>
      </c>
      <c r="V168" s="118">
        <f t="shared" si="23"/>
        <v>129</v>
      </c>
    </row>
    <row r="169" spans="1:22" ht="15">
      <c r="A169" s="125" t="s">
        <v>161</v>
      </c>
      <c r="B169" s="126">
        <v>43604</v>
      </c>
      <c r="C169" s="127" t="s">
        <v>590</v>
      </c>
      <c r="D169" s="128">
        <v>65.39</v>
      </c>
      <c r="K169" s="129">
        <v>43604</v>
      </c>
      <c r="M169" s="124">
        <f t="shared" si="16"/>
        <v>43605</v>
      </c>
      <c r="N169" s="124">
        <v>43605</v>
      </c>
      <c r="O169" s="97">
        <f t="shared" si="17"/>
        <v>-1</v>
      </c>
      <c r="P169" s="97">
        <f t="shared" si="18"/>
        <v>0</v>
      </c>
      <c r="Q169" s="97">
        <f t="shared" si="19"/>
        <v>1</v>
      </c>
      <c r="R169" s="97">
        <f t="shared" si="20"/>
        <v>-29</v>
      </c>
      <c r="S169" s="2">
        <v>29</v>
      </c>
      <c r="T169" s="131">
        <f t="shared" si="21"/>
        <v>0</v>
      </c>
      <c r="U169" s="131">
        <f t="shared" si="22"/>
        <v>-1896.31</v>
      </c>
      <c r="V169" s="118">
        <f t="shared" si="23"/>
        <v>129</v>
      </c>
    </row>
    <row r="170" spans="1:22" ht="15">
      <c r="A170" s="125" t="s">
        <v>160</v>
      </c>
      <c r="B170" s="126">
        <v>43635</v>
      </c>
      <c r="C170" s="127" t="s">
        <v>591</v>
      </c>
      <c r="D170" s="128">
        <v>65.4</v>
      </c>
      <c r="K170" s="129">
        <v>43635</v>
      </c>
      <c r="M170" s="124">
        <f t="shared" si="16"/>
        <v>43635</v>
      </c>
      <c r="N170" s="124">
        <v>43635</v>
      </c>
      <c r="O170" s="97">
        <f t="shared" si="17"/>
        <v>0</v>
      </c>
      <c r="P170" s="97">
        <f t="shared" si="18"/>
        <v>0</v>
      </c>
      <c r="Q170" s="97">
        <f t="shared" si="19"/>
        <v>0</v>
      </c>
      <c r="R170" s="97">
        <f t="shared" si="20"/>
        <v>-30</v>
      </c>
      <c r="S170" s="2">
        <v>29</v>
      </c>
      <c r="T170" s="131">
        <f t="shared" si="21"/>
        <v>0</v>
      </c>
      <c r="U170" s="131">
        <f t="shared" si="22"/>
        <v>-1962.0000000000002</v>
      </c>
      <c r="V170" s="118">
        <f t="shared" si="23"/>
        <v>129</v>
      </c>
    </row>
    <row r="171" spans="1:22" ht="15">
      <c r="A171" s="125" t="s">
        <v>158</v>
      </c>
      <c r="B171" s="126">
        <v>43620</v>
      </c>
      <c r="C171" s="127" t="s">
        <v>593</v>
      </c>
      <c r="D171" s="128">
        <v>9196</v>
      </c>
      <c r="K171" s="129">
        <v>43626</v>
      </c>
      <c r="M171" s="124">
        <f t="shared" si="16"/>
        <v>43633</v>
      </c>
      <c r="N171" s="124">
        <v>43633</v>
      </c>
      <c r="O171" s="97">
        <f t="shared" si="17"/>
        <v>-7</v>
      </c>
      <c r="P171" s="97">
        <f t="shared" si="18"/>
        <v>0</v>
      </c>
      <c r="Q171" s="97">
        <f t="shared" si="19"/>
        <v>7</v>
      </c>
      <c r="R171" s="97">
        <f t="shared" si="20"/>
        <v>-23</v>
      </c>
      <c r="S171" s="2">
        <v>29</v>
      </c>
      <c r="T171" s="131">
        <f t="shared" si="21"/>
        <v>0</v>
      </c>
      <c r="U171" s="131">
        <f t="shared" si="22"/>
        <v>-211508</v>
      </c>
      <c r="V171" s="118">
        <f t="shared" si="23"/>
        <v>129</v>
      </c>
    </row>
    <row r="172" spans="1:22" ht="15">
      <c r="A172" s="125" t="s">
        <v>155</v>
      </c>
      <c r="B172" s="126">
        <v>43610</v>
      </c>
      <c r="C172" s="127" t="s">
        <v>596</v>
      </c>
      <c r="D172" s="128">
        <v>1887.6</v>
      </c>
      <c r="K172" s="129">
        <v>43628</v>
      </c>
      <c r="M172" s="124">
        <f t="shared" si="16"/>
        <v>43633</v>
      </c>
      <c r="N172" s="124">
        <v>43633</v>
      </c>
      <c r="O172" s="97">
        <f t="shared" si="17"/>
        <v>-5</v>
      </c>
      <c r="P172" s="97">
        <f t="shared" si="18"/>
        <v>0</v>
      </c>
      <c r="Q172" s="97">
        <f t="shared" si="19"/>
        <v>5</v>
      </c>
      <c r="R172" s="97">
        <f t="shared" si="20"/>
        <v>-25</v>
      </c>
      <c r="S172" s="2">
        <v>29</v>
      </c>
      <c r="T172" s="131">
        <f t="shared" si="21"/>
        <v>0</v>
      </c>
      <c r="U172" s="131">
        <f t="shared" si="22"/>
        <v>-47190</v>
      </c>
      <c r="V172" s="118">
        <f t="shared" si="23"/>
        <v>129</v>
      </c>
    </row>
    <row r="173" spans="1:22" ht="15">
      <c r="A173" s="125" t="s">
        <v>154</v>
      </c>
      <c r="B173" s="126">
        <v>43631</v>
      </c>
      <c r="C173" s="127" t="s">
        <v>597</v>
      </c>
      <c r="D173" s="128">
        <v>121.08</v>
      </c>
      <c r="K173" s="129">
        <v>43631</v>
      </c>
      <c r="M173" s="124">
        <f t="shared" si="16"/>
        <v>43633</v>
      </c>
      <c r="N173" s="124">
        <v>43633</v>
      </c>
      <c r="O173" s="97">
        <f t="shared" si="17"/>
        <v>-2</v>
      </c>
      <c r="P173" s="97">
        <f t="shared" si="18"/>
        <v>0</v>
      </c>
      <c r="Q173" s="97">
        <f t="shared" si="19"/>
        <v>2</v>
      </c>
      <c r="R173" s="97">
        <f t="shared" si="20"/>
        <v>-28</v>
      </c>
      <c r="S173" s="2">
        <v>29</v>
      </c>
      <c r="T173" s="131">
        <f t="shared" si="21"/>
        <v>0</v>
      </c>
      <c r="U173" s="131">
        <f t="shared" si="22"/>
        <v>-3390.24</v>
      </c>
      <c r="V173" s="118">
        <f t="shared" si="23"/>
        <v>129</v>
      </c>
    </row>
    <row r="174" spans="1:22" ht="15">
      <c r="A174" s="125" t="s">
        <v>153</v>
      </c>
      <c r="B174" s="126">
        <v>43615</v>
      </c>
      <c r="C174" s="127" t="s">
        <v>598</v>
      </c>
      <c r="D174" s="128">
        <v>261.36</v>
      </c>
      <c r="K174" s="129">
        <v>43630</v>
      </c>
      <c r="M174" s="124">
        <f t="shared" si="16"/>
        <v>43633</v>
      </c>
      <c r="N174" s="124">
        <v>43633</v>
      </c>
      <c r="O174" s="97">
        <f t="shared" si="17"/>
        <v>-3</v>
      </c>
      <c r="P174" s="97">
        <f t="shared" si="18"/>
        <v>0</v>
      </c>
      <c r="Q174" s="97">
        <f t="shared" si="19"/>
        <v>3</v>
      </c>
      <c r="R174" s="97">
        <f t="shared" si="20"/>
        <v>-27</v>
      </c>
      <c r="S174" s="2">
        <v>29</v>
      </c>
      <c r="T174" s="131">
        <f t="shared" si="21"/>
        <v>0</v>
      </c>
      <c r="U174" s="131">
        <f t="shared" si="22"/>
        <v>-7056.72</v>
      </c>
      <c r="V174" s="118">
        <f t="shared" si="23"/>
        <v>129</v>
      </c>
    </row>
    <row r="175" spans="1:22" ht="15">
      <c r="A175" s="125" t="s">
        <v>151</v>
      </c>
      <c r="B175" s="126">
        <v>43556</v>
      </c>
      <c r="C175" s="127" t="s">
        <v>600</v>
      </c>
      <c r="D175" s="128">
        <v>723.03</v>
      </c>
      <c r="K175" s="129">
        <v>43584</v>
      </c>
      <c r="M175" s="124">
        <f t="shared" si="16"/>
        <v>43584</v>
      </c>
      <c r="N175" s="124">
        <v>43584</v>
      </c>
      <c r="O175" s="97">
        <f t="shared" si="17"/>
        <v>0</v>
      </c>
      <c r="P175" s="97">
        <f t="shared" si="18"/>
        <v>0</v>
      </c>
      <c r="Q175" s="97">
        <f t="shared" si="19"/>
        <v>0</v>
      </c>
      <c r="R175" s="97">
        <f t="shared" si="20"/>
        <v>-30</v>
      </c>
      <c r="S175" s="2">
        <v>29</v>
      </c>
      <c r="T175" s="131">
        <f t="shared" si="21"/>
        <v>0</v>
      </c>
      <c r="U175" s="131">
        <f t="shared" si="22"/>
        <v>-21690.899999999998</v>
      </c>
      <c r="V175" s="118">
        <f t="shared" si="23"/>
        <v>129</v>
      </c>
    </row>
    <row r="176" spans="1:22" ht="15">
      <c r="A176" s="125" t="s">
        <v>150</v>
      </c>
      <c r="B176" s="126">
        <v>43585</v>
      </c>
      <c r="C176" s="127" t="s">
        <v>601</v>
      </c>
      <c r="D176" s="128">
        <v>464.86</v>
      </c>
      <c r="K176" s="129">
        <v>43619</v>
      </c>
      <c r="M176" s="124">
        <f t="shared" si="16"/>
        <v>43633</v>
      </c>
      <c r="N176" s="124">
        <v>43633</v>
      </c>
      <c r="O176" s="97">
        <f t="shared" si="17"/>
        <v>-14</v>
      </c>
      <c r="P176" s="97">
        <f t="shared" si="18"/>
        <v>0</v>
      </c>
      <c r="Q176" s="97">
        <f t="shared" si="19"/>
        <v>14</v>
      </c>
      <c r="R176" s="97">
        <f t="shared" si="20"/>
        <v>-16</v>
      </c>
      <c r="S176" s="2">
        <v>29</v>
      </c>
      <c r="T176" s="131">
        <f t="shared" si="21"/>
        <v>0</v>
      </c>
      <c r="U176" s="131">
        <f t="shared" si="22"/>
        <v>-7437.76</v>
      </c>
      <c r="V176" s="118">
        <f t="shared" si="23"/>
        <v>129</v>
      </c>
    </row>
    <row r="177" spans="1:22" ht="15">
      <c r="A177" s="125" t="s">
        <v>149</v>
      </c>
      <c r="B177" s="126">
        <v>43616</v>
      </c>
      <c r="C177" s="127" t="s">
        <v>602</v>
      </c>
      <c r="D177" s="128">
        <v>723.03</v>
      </c>
      <c r="K177" s="129">
        <v>43633</v>
      </c>
      <c r="M177" s="124">
        <f t="shared" si="16"/>
        <v>43633</v>
      </c>
      <c r="N177" s="124">
        <v>43633</v>
      </c>
      <c r="O177" s="97">
        <f t="shared" si="17"/>
        <v>0</v>
      </c>
      <c r="P177" s="97">
        <f t="shared" si="18"/>
        <v>0</v>
      </c>
      <c r="Q177" s="97">
        <f t="shared" si="19"/>
        <v>0</v>
      </c>
      <c r="R177" s="97">
        <f t="shared" si="20"/>
        <v>-30</v>
      </c>
      <c r="S177" s="2">
        <v>29</v>
      </c>
      <c r="T177" s="131">
        <f t="shared" si="21"/>
        <v>0</v>
      </c>
      <c r="U177" s="131">
        <f t="shared" si="22"/>
        <v>-21690.899999999998</v>
      </c>
      <c r="V177" s="118">
        <f t="shared" si="23"/>
        <v>129</v>
      </c>
    </row>
    <row r="178" spans="1:22" ht="15">
      <c r="A178" s="125" t="s">
        <v>147</v>
      </c>
      <c r="B178" s="126">
        <v>43599</v>
      </c>
      <c r="C178" s="127" t="s">
        <v>604</v>
      </c>
      <c r="D178" s="128">
        <v>36</v>
      </c>
      <c r="K178" s="129">
        <v>43608</v>
      </c>
      <c r="M178" s="124">
        <f t="shared" si="16"/>
        <v>43614</v>
      </c>
      <c r="N178" s="124">
        <v>43614</v>
      </c>
      <c r="O178" s="97">
        <f t="shared" si="17"/>
        <v>-6</v>
      </c>
      <c r="P178" s="97">
        <f t="shared" si="18"/>
        <v>0</v>
      </c>
      <c r="Q178" s="97">
        <f t="shared" si="19"/>
        <v>6</v>
      </c>
      <c r="R178" s="97">
        <f t="shared" si="20"/>
        <v>-24</v>
      </c>
      <c r="S178" s="2">
        <v>29</v>
      </c>
      <c r="T178" s="131">
        <f t="shared" si="21"/>
        <v>0</v>
      </c>
      <c r="U178" s="131">
        <f t="shared" si="22"/>
        <v>-864</v>
      </c>
      <c r="V178" s="118">
        <f t="shared" si="23"/>
        <v>129</v>
      </c>
    </row>
    <row r="179" spans="1:22" ht="15">
      <c r="A179" s="125" t="s">
        <v>146</v>
      </c>
      <c r="B179" s="126">
        <v>43599</v>
      </c>
      <c r="C179" s="127" t="s">
        <v>605</v>
      </c>
      <c r="D179" s="128">
        <v>38.5</v>
      </c>
      <c r="K179" s="129">
        <v>43608</v>
      </c>
      <c r="M179" s="124">
        <f t="shared" si="16"/>
        <v>43614</v>
      </c>
      <c r="N179" s="124">
        <v>43614</v>
      </c>
      <c r="O179" s="97">
        <f t="shared" si="17"/>
        <v>-6</v>
      </c>
      <c r="P179" s="97">
        <f t="shared" si="18"/>
        <v>0</v>
      </c>
      <c r="Q179" s="97">
        <f t="shared" si="19"/>
        <v>6</v>
      </c>
      <c r="R179" s="97">
        <f t="shared" si="20"/>
        <v>-24</v>
      </c>
      <c r="S179" s="2">
        <v>29</v>
      </c>
      <c r="T179" s="131">
        <f t="shared" si="21"/>
        <v>0</v>
      </c>
      <c r="U179" s="131">
        <f t="shared" si="22"/>
        <v>-924</v>
      </c>
      <c r="V179" s="118">
        <f t="shared" si="23"/>
        <v>129</v>
      </c>
    </row>
    <row r="180" spans="1:22" ht="15">
      <c r="A180" s="125" t="s">
        <v>145</v>
      </c>
      <c r="B180" s="126">
        <v>43621</v>
      </c>
      <c r="C180" s="127" t="s">
        <v>606</v>
      </c>
      <c r="D180" s="128">
        <v>43</v>
      </c>
      <c r="K180" s="129">
        <v>43626</v>
      </c>
      <c r="M180" s="124">
        <f t="shared" si="16"/>
        <v>43633</v>
      </c>
      <c r="N180" s="124">
        <v>43633</v>
      </c>
      <c r="O180" s="97">
        <f t="shared" si="17"/>
        <v>-7</v>
      </c>
      <c r="P180" s="97">
        <f t="shared" si="18"/>
        <v>0</v>
      </c>
      <c r="Q180" s="97">
        <f t="shared" si="19"/>
        <v>7</v>
      </c>
      <c r="R180" s="97">
        <f t="shared" si="20"/>
        <v>-23</v>
      </c>
      <c r="S180" s="2">
        <v>29</v>
      </c>
      <c r="T180" s="131">
        <f t="shared" si="21"/>
        <v>0</v>
      </c>
      <c r="U180" s="131">
        <f t="shared" si="22"/>
        <v>-989</v>
      </c>
      <c r="V180" s="118">
        <f t="shared" si="23"/>
        <v>129</v>
      </c>
    </row>
    <row r="181" spans="1:22" ht="15">
      <c r="A181" s="125" t="s">
        <v>144</v>
      </c>
      <c r="B181" s="126">
        <v>43563</v>
      </c>
      <c r="C181" s="127" t="s">
        <v>382</v>
      </c>
      <c r="D181" s="128">
        <v>1215</v>
      </c>
      <c r="K181" s="129">
        <v>43570</v>
      </c>
      <c r="M181" s="124">
        <f t="shared" si="16"/>
        <v>43570</v>
      </c>
      <c r="N181" s="124">
        <v>43570</v>
      </c>
      <c r="O181" s="97">
        <f t="shared" si="17"/>
        <v>0</v>
      </c>
      <c r="P181" s="97">
        <f t="shared" si="18"/>
        <v>0</v>
      </c>
      <c r="Q181" s="97">
        <f t="shared" si="19"/>
        <v>0</v>
      </c>
      <c r="R181" s="97">
        <f t="shared" si="20"/>
        <v>-30</v>
      </c>
      <c r="S181" s="2">
        <v>20</v>
      </c>
      <c r="T181" s="131">
        <f t="shared" si="21"/>
        <v>0</v>
      </c>
      <c r="U181" s="131">
        <f t="shared" si="22"/>
        <v>-36450</v>
      </c>
      <c r="V181" s="118">
        <f t="shared" si="23"/>
        <v>120</v>
      </c>
    </row>
    <row r="182" spans="1:22" ht="15">
      <c r="A182" s="125" t="s">
        <v>143</v>
      </c>
      <c r="B182" s="126">
        <v>43563</v>
      </c>
      <c r="C182" s="127" t="s">
        <v>383</v>
      </c>
      <c r="D182" s="128">
        <v>4860</v>
      </c>
      <c r="K182" s="129">
        <v>43570</v>
      </c>
      <c r="M182" s="124">
        <f t="shared" si="16"/>
        <v>43570</v>
      </c>
      <c r="N182" s="124">
        <v>43570</v>
      </c>
      <c r="O182" s="97">
        <f t="shared" si="17"/>
        <v>0</v>
      </c>
      <c r="P182" s="97">
        <f t="shared" si="18"/>
        <v>0</v>
      </c>
      <c r="Q182" s="97">
        <f t="shared" si="19"/>
        <v>0</v>
      </c>
      <c r="R182" s="97">
        <f t="shared" si="20"/>
        <v>-30</v>
      </c>
      <c r="S182" s="2">
        <v>22</v>
      </c>
      <c r="T182" s="131">
        <f t="shared" si="21"/>
        <v>0</v>
      </c>
      <c r="U182" s="131">
        <f t="shared" si="22"/>
        <v>-145800</v>
      </c>
      <c r="V182" s="118">
        <f t="shared" si="23"/>
        <v>122</v>
      </c>
    </row>
    <row r="183" spans="1:22" ht="15">
      <c r="A183" s="125" t="s">
        <v>142</v>
      </c>
      <c r="B183" s="126">
        <v>43579</v>
      </c>
      <c r="C183" s="127" t="s">
        <v>607</v>
      </c>
      <c r="D183" s="128">
        <v>792</v>
      </c>
      <c r="K183" s="129">
        <v>43592</v>
      </c>
      <c r="M183" s="124">
        <f t="shared" si="16"/>
        <v>43584</v>
      </c>
      <c r="N183" s="124">
        <v>43584</v>
      </c>
      <c r="O183" s="97">
        <f t="shared" si="17"/>
        <v>8</v>
      </c>
      <c r="P183" s="97">
        <f t="shared" si="18"/>
        <v>0</v>
      </c>
      <c r="Q183" s="97">
        <f t="shared" si="19"/>
        <v>-8</v>
      </c>
      <c r="R183" s="97">
        <f t="shared" si="20"/>
        <v>-38</v>
      </c>
      <c r="S183" s="2">
        <v>29</v>
      </c>
      <c r="T183" s="131">
        <f t="shared" si="21"/>
        <v>0</v>
      </c>
      <c r="U183" s="131">
        <f t="shared" si="22"/>
        <v>-30096</v>
      </c>
      <c r="V183" s="118">
        <f t="shared" si="23"/>
        <v>129</v>
      </c>
    </row>
    <row r="184" spans="1:22" ht="15">
      <c r="A184" s="125" t="s">
        <v>141</v>
      </c>
      <c r="B184" s="126">
        <v>43598</v>
      </c>
      <c r="C184" s="127" t="s">
        <v>608</v>
      </c>
      <c r="D184" s="128">
        <v>792</v>
      </c>
      <c r="K184" s="129">
        <v>43614</v>
      </c>
      <c r="M184" s="124">
        <f t="shared" si="16"/>
        <v>43614</v>
      </c>
      <c r="N184" s="124">
        <v>43614</v>
      </c>
      <c r="O184" s="97">
        <f t="shared" si="17"/>
        <v>0</v>
      </c>
      <c r="P184" s="97">
        <f t="shared" si="18"/>
        <v>0</v>
      </c>
      <c r="Q184" s="97">
        <f t="shared" si="19"/>
        <v>0</v>
      </c>
      <c r="R184" s="97">
        <f t="shared" si="20"/>
        <v>-30</v>
      </c>
      <c r="S184" s="2">
        <v>29</v>
      </c>
      <c r="T184" s="131">
        <f t="shared" si="21"/>
        <v>0</v>
      </c>
      <c r="U184" s="131">
        <f t="shared" si="22"/>
        <v>-23760</v>
      </c>
      <c r="V184" s="118">
        <f t="shared" si="23"/>
        <v>129</v>
      </c>
    </row>
    <row r="185" spans="1:22" ht="15">
      <c r="A185" s="125" t="s">
        <v>140</v>
      </c>
      <c r="B185" s="126">
        <v>43638</v>
      </c>
      <c r="C185" s="127" t="s">
        <v>609</v>
      </c>
      <c r="D185" s="128">
        <v>792</v>
      </c>
      <c r="K185" s="129">
        <v>43638</v>
      </c>
      <c r="M185" s="124">
        <f t="shared" si="16"/>
        <v>43640</v>
      </c>
      <c r="N185" s="124">
        <v>43640</v>
      </c>
      <c r="O185" s="97">
        <f t="shared" si="17"/>
        <v>-2</v>
      </c>
      <c r="P185" s="97">
        <f t="shared" si="18"/>
        <v>0</v>
      </c>
      <c r="Q185" s="97">
        <f t="shared" si="19"/>
        <v>2</v>
      </c>
      <c r="R185" s="97">
        <f t="shared" si="20"/>
        <v>-28</v>
      </c>
      <c r="S185" s="2">
        <v>29</v>
      </c>
      <c r="T185" s="131">
        <f t="shared" si="21"/>
        <v>0</v>
      </c>
      <c r="U185" s="131">
        <f t="shared" si="22"/>
        <v>-22176</v>
      </c>
      <c r="V185" s="118">
        <f t="shared" si="23"/>
        <v>129</v>
      </c>
    </row>
    <row r="186" spans="1:22" ht="15">
      <c r="A186" s="125" t="s">
        <v>139</v>
      </c>
      <c r="B186" s="126">
        <v>43571</v>
      </c>
      <c r="C186" s="127" t="s">
        <v>610</v>
      </c>
      <c r="D186" s="128">
        <v>3484.8</v>
      </c>
      <c r="K186" s="129">
        <v>43592</v>
      </c>
      <c r="M186" s="124">
        <f t="shared" si="16"/>
        <v>43615</v>
      </c>
      <c r="N186" s="124">
        <v>43615</v>
      </c>
      <c r="O186" s="97">
        <f t="shared" si="17"/>
        <v>-23</v>
      </c>
      <c r="P186" s="97">
        <f t="shared" si="18"/>
        <v>0</v>
      </c>
      <c r="Q186" s="97">
        <f t="shared" si="19"/>
        <v>23</v>
      </c>
      <c r="R186" s="97">
        <f t="shared" si="20"/>
        <v>-7</v>
      </c>
      <c r="S186" s="2">
        <v>29</v>
      </c>
      <c r="T186" s="131">
        <f t="shared" si="21"/>
        <v>0</v>
      </c>
      <c r="U186" s="131">
        <f t="shared" si="22"/>
        <v>-24393.600000000002</v>
      </c>
      <c r="V186" s="118">
        <f t="shared" si="23"/>
        <v>129</v>
      </c>
    </row>
    <row r="187" spans="1:22" ht="15">
      <c r="A187" s="125" t="s">
        <v>138</v>
      </c>
      <c r="B187" s="126">
        <v>43556</v>
      </c>
      <c r="C187" s="127" t="s">
        <v>611</v>
      </c>
      <c r="D187" s="128">
        <v>136.55</v>
      </c>
      <c r="K187" s="129">
        <v>43556</v>
      </c>
      <c r="M187" s="124">
        <f t="shared" si="16"/>
        <v>43612</v>
      </c>
      <c r="N187" s="124">
        <v>43612</v>
      </c>
      <c r="O187" s="97">
        <f t="shared" si="17"/>
        <v>-56</v>
      </c>
      <c r="P187" s="97">
        <f t="shared" si="18"/>
        <v>0</v>
      </c>
      <c r="Q187" s="97">
        <f t="shared" si="19"/>
        <v>56</v>
      </c>
      <c r="R187" s="97">
        <f t="shared" si="20"/>
        <v>26</v>
      </c>
      <c r="S187" s="2">
        <v>29</v>
      </c>
      <c r="T187" s="131">
        <f t="shared" si="21"/>
        <v>0</v>
      </c>
      <c r="U187" s="131">
        <f t="shared" si="22"/>
        <v>3550.3</v>
      </c>
      <c r="V187" s="118">
        <f t="shared" si="23"/>
        <v>129</v>
      </c>
    </row>
    <row r="188" spans="1:22" ht="15">
      <c r="A188" s="125" t="s">
        <v>136</v>
      </c>
      <c r="B188" s="126">
        <v>43614</v>
      </c>
      <c r="C188" s="127" t="s">
        <v>613</v>
      </c>
      <c r="D188" s="128">
        <v>174.18</v>
      </c>
      <c r="K188" s="129">
        <v>43614</v>
      </c>
      <c r="M188" s="124">
        <f t="shared" si="16"/>
        <v>43626</v>
      </c>
      <c r="N188" s="124">
        <v>43626</v>
      </c>
      <c r="O188" s="97">
        <f t="shared" si="17"/>
        <v>-12</v>
      </c>
      <c r="P188" s="97">
        <f t="shared" si="18"/>
        <v>0</v>
      </c>
      <c r="Q188" s="97">
        <f t="shared" si="19"/>
        <v>12</v>
      </c>
      <c r="R188" s="97">
        <f t="shared" si="20"/>
        <v>-18</v>
      </c>
      <c r="S188" s="2">
        <v>21</v>
      </c>
      <c r="T188" s="131">
        <f t="shared" si="21"/>
        <v>0</v>
      </c>
      <c r="U188" s="131">
        <f t="shared" si="22"/>
        <v>-3135.2400000000002</v>
      </c>
      <c r="V188" s="118">
        <f t="shared" si="23"/>
        <v>121</v>
      </c>
    </row>
    <row r="189" spans="1:22" ht="15">
      <c r="A189" s="125" t="s">
        <v>135</v>
      </c>
      <c r="B189" s="126">
        <v>43556</v>
      </c>
      <c r="C189" s="127" t="s">
        <v>614</v>
      </c>
      <c r="D189" s="128">
        <v>62.23</v>
      </c>
      <c r="K189" s="129">
        <v>43556</v>
      </c>
      <c r="M189" s="124">
        <f t="shared" si="16"/>
        <v>43556</v>
      </c>
      <c r="N189" s="124">
        <v>43556</v>
      </c>
      <c r="O189" s="97">
        <f t="shared" si="17"/>
        <v>0</v>
      </c>
      <c r="P189" s="97">
        <f t="shared" si="18"/>
        <v>0</v>
      </c>
      <c r="Q189" s="97">
        <f t="shared" si="19"/>
        <v>0</v>
      </c>
      <c r="R189" s="97">
        <f t="shared" si="20"/>
        <v>-30</v>
      </c>
      <c r="S189" s="2">
        <v>21</v>
      </c>
      <c r="T189" s="131">
        <f t="shared" si="21"/>
        <v>0</v>
      </c>
      <c r="U189" s="131">
        <f t="shared" si="22"/>
        <v>-1866.8999999999999</v>
      </c>
      <c r="V189" s="118">
        <f t="shared" si="23"/>
        <v>121</v>
      </c>
    </row>
    <row r="190" spans="1:22" ht="15">
      <c r="A190" s="125" t="s">
        <v>134</v>
      </c>
      <c r="B190" s="126">
        <v>43586</v>
      </c>
      <c r="C190" s="127" t="s">
        <v>615</v>
      </c>
      <c r="D190" s="128">
        <v>62.23</v>
      </c>
      <c r="K190" s="129">
        <v>43591</v>
      </c>
      <c r="M190" s="124">
        <f t="shared" si="16"/>
        <v>43587</v>
      </c>
      <c r="N190" s="124">
        <v>43587</v>
      </c>
      <c r="O190" s="97">
        <f t="shared" si="17"/>
        <v>4</v>
      </c>
      <c r="P190" s="97">
        <f t="shared" si="18"/>
        <v>0</v>
      </c>
      <c r="Q190" s="97">
        <f t="shared" si="19"/>
        <v>-4</v>
      </c>
      <c r="R190" s="97">
        <f t="shared" si="20"/>
        <v>-34</v>
      </c>
      <c r="S190" s="2">
        <v>21</v>
      </c>
      <c r="T190" s="131">
        <f t="shared" si="21"/>
        <v>0</v>
      </c>
      <c r="U190" s="131">
        <f t="shared" si="22"/>
        <v>-2115.8199999999997</v>
      </c>
      <c r="V190" s="118">
        <f t="shared" si="23"/>
        <v>121</v>
      </c>
    </row>
    <row r="191" spans="1:22" ht="15">
      <c r="A191" s="125" t="s">
        <v>133</v>
      </c>
      <c r="B191" s="126">
        <v>43617</v>
      </c>
      <c r="C191" s="127" t="s">
        <v>616</v>
      </c>
      <c r="D191" s="128">
        <v>62.23</v>
      </c>
      <c r="K191" s="129">
        <v>43617</v>
      </c>
      <c r="M191" s="124">
        <f t="shared" si="16"/>
        <v>43619</v>
      </c>
      <c r="N191" s="124">
        <v>43619</v>
      </c>
      <c r="O191" s="97">
        <f t="shared" si="17"/>
        <v>-2</v>
      </c>
      <c r="P191" s="97">
        <f t="shared" si="18"/>
        <v>0</v>
      </c>
      <c r="Q191" s="97">
        <f t="shared" si="19"/>
        <v>2</v>
      </c>
      <c r="R191" s="97">
        <f t="shared" si="20"/>
        <v>-28</v>
      </c>
      <c r="S191" s="2">
        <v>21</v>
      </c>
      <c r="T191" s="131">
        <f t="shared" si="21"/>
        <v>0</v>
      </c>
      <c r="U191" s="131">
        <f t="shared" si="22"/>
        <v>-1742.4399999999998</v>
      </c>
      <c r="V191" s="118">
        <f t="shared" si="23"/>
        <v>121</v>
      </c>
    </row>
    <row r="192" spans="1:22" ht="15">
      <c r="A192" s="125" t="s">
        <v>132</v>
      </c>
      <c r="B192" s="126">
        <v>43585</v>
      </c>
      <c r="C192" s="127" t="s">
        <v>617</v>
      </c>
      <c r="D192" s="128">
        <v>1035.12</v>
      </c>
      <c r="K192" s="129">
        <v>43607</v>
      </c>
      <c r="M192" s="124">
        <f t="shared" si="16"/>
        <v>43614</v>
      </c>
      <c r="N192" s="124">
        <v>43614</v>
      </c>
      <c r="O192" s="97">
        <f t="shared" si="17"/>
        <v>-7</v>
      </c>
      <c r="P192" s="97">
        <f t="shared" si="18"/>
        <v>0</v>
      </c>
      <c r="Q192" s="97">
        <f t="shared" si="19"/>
        <v>7</v>
      </c>
      <c r="R192" s="97">
        <f t="shared" si="20"/>
        <v>-23</v>
      </c>
      <c r="S192" s="2">
        <v>29</v>
      </c>
      <c r="T192" s="131">
        <f t="shared" si="21"/>
        <v>0</v>
      </c>
      <c r="U192" s="131">
        <f t="shared" si="22"/>
        <v>-23807.76</v>
      </c>
      <c r="V192" s="118">
        <f t="shared" si="23"/>
        <v>129</v>
      </c>
    </row>
    <row r="193" spans="1:22" ht="15">
      <c r="A193" s="125" t="s">
        <v>131</v>
      </c>
      <c r="B193" s="126">
        <v>43556</v>
      </c>
      <c r="C193" s="127" t="s">
        <v>618</v>
      </c>
      <c r="D193" s="128">
        <v>573.93</v>
      </c>
      <c r="K193" s="129">
        <v>43607</v>
      </c>
      <c r="M193" s="124">
        <f t="shared" si="16"/>
        <v>43614</v>
      </c>
      <c r="N193" s="124">
        <v>43614</v>
      </c>
      <c r="O193" s="97">
        <f t="shared" si="17"/>
        <v>-7</v>
      </c>
      <c r="P193" s="97">
        <f t="shared" si="18"/>
        <v>0</v>
      </c>
      <c r="Q193" s="97">
        <f t="shared" si="19"/>
        <v>7</v>
      </c>
      <c r="R193" s="97">
        <f t="shared" si="20"/>
        <v>-23</v>
      </c>
      <c r="S193" s="2">
        <v>29</v>
      </c>
      <c r="T193" s="131">
        <f t="shared" si="21"/>
        <v>0</v>
      </c>
      <c r="U193" s="131">
        <f t="shared" si="22"/>
        <v>-13200.39</v>
      </c>
      <c r="V193" s="118">
        <f t="shared" si="23"/>
        <v>129</v>
      </c>
    </row>
    <row r="194" spans="1:22" ht="15">
      <c r="A194" s="125" t="s">
        <v>127</v>
      </c>
      <c r="B194" s="126">
        <v>43616</v>
      </c>
      <c r="C194" s="127" t="s">
        <v>622</v>
      </c>
      <c r="D194" s="128">
        <v>85.66</v>
      </c>
      <c r="K194" s="129">
        <v>43630</v>
      </c>
      <c r="M194" s="124">
        <f t="shared" si="16"/>
        <v>43636</v>
      </c>
      <c r="N194" s="124">
        <v>43636</v>
      </c>
      <c r="O194" s="97">
        <f t="shared" si="17"/>
        <v>-6</v>
      </c>
      <c r="P194" s="97">
        <f t="shared" si="18"/>
        <v>0</v>
      </c>
      <c r="Q194" s="97">
        <f t="shared" si="19"/>
        <v>6</v>
      </c>
      <c r="R194" s="97">
        <f t="shared" si="20"/>
        <v>-24</v>
      </c>
      <c r="S194" s="2">
        <v>29</v>
      </c>
      <c r="T194" s="131">
        <f t="shared" si="21"/>
        <v>0</v>
      </c>
      <c r="U194" s="131">
        <f t="shared" si="22"/>
        <v>-2055.84</v>
      </c>
      <c r="V194" s="118">
        <f t="shared" si="23"/>
        <v>129</v>
      </c>
    </row>
    <row r="195" spans="1:22" ht="15">
      <c r="A195" s="125" t="s">
        <v>126</v>
      </c>
      <c r="B195" s="126">
        <v>43570</v>
      </c>
      <c r="C195" s="127" t="s">
        <v>623</v>
      </c>
      <c r="D195" s="128">
        <v>356.96</v>
      </c>
      <c r="K195" s="129">
        <v>43591</v>
      </c>
      <c r="M195" s="124">
        <f t="shared" si="16"/>
        <v>43600</v>
      </c>
      <c r="N195" s="124">
        <v>43600</v>
      </c>
      <c r="O195" s="97">
        <f t="shared" si="17"/>
        <v>-9</v>
      </c>
      <c r="P195" s="97">
        <f t="shared" si="18"/>
        <v>0</v>
      </c>
      <c r="Q195" s="97">
        <f t="shared" si="19"/>
        <v>9</v>
      </c>
      <c r="R195" s="97">
        <f t="shared" si="20"/>
        <v>-21</v>
      </c>
      <c r="S195" s="2">
        <v>29</v>
      </c>
      <c r="T195" s="131">
        <f t="shared" si="21"/>
        <v>0</v>
      </c>
      <c r="U195" s="131">
        <f t="shared" si="22"/>
        <v>-7496.16</v>
      </c>
      <c r="V195" s="118">
        <f t="shared" si="23"/>
        <v>129</v>
      </c>
    </row>
    <row r="196" spans="1:22" ht="15">
      <c r="A196" s="125" t="s">
        <v>125</v>
      </c>
      <c r="B196" s="126">
        <v>43601</v>
      </c>
      <c r="C196" s="127" t="s">
        <v>624</v>
      </c>
      <c r="D196" s="128">
        <v>40</v>
      </c>
      <c r="K196" s="129">
        <v>43605</v>
      </c>
      <c r="M196" s="124">
        <f t="shared" si="16"/>
        <v>43616</v>
      </c>
      <c r="N196" s="124">
        <v>43616</v>
      </c>
      <c r="O196" s="97">
        <f t="shared" si="17"/>
        <v>-11</v>
      </c>
      <c r="P196" s="97">
        <f t="shared" si="18"/>
        <v>0</v>
      </c>
      <c r="Q196" s="97">
        <f t="shared" si="19"/>
        <v>11</v>
      </c>
      <c r="R196" s="97">
        <f t="shared" si="20"/>
        <v>-19</v>
      </c>
      <c r="S196" s="2">
        <v>29</v>
      </c>
      <c r="T196" s="131">
        <f t="shared" si="21"/>
        <v>0</v>
      </c>
      <c r="U196" s="131">
        <f t="shared" si="22"/>
        <v>-760</v>
      </c>
      <c r="V196" s="118">
        <f t="shared" si="23"/>
        <v>129</v>
      </c>
    </row>
    <row r="197" spans="1:22" ht="15">
      <c r="A197" s="125" t="s">
        <v>124</v>
      </c>
      <c r="B197" s="126">
        <v>43628</v>
      </c>
      <c r="C197" s="127" t="s">
        <v>625</v>
      </c>
      <c r="D197" s="128">
        <v>30</v>
      </c>
      <c r="K197" s="129">
        <v>43628</v>
      </c>
      <c r="M197" s="124">
        <f t="shared" si="16"/>
        <v>43626</v>
      </c>
      <c r="N197" s="124">
        <v>43626</v>
      </c>
      <c r="O197" s="97">
        <f t="shared" si="17"/>
        <v>2</v>
      </c>
      <c r="P197" s="97">
        <f t="shared" si="18"/>
        <v>0</v>
      </c>
      <c r="Q197" s="97">
        <f t="shared" si="19"/>
        <v>-2</v>
      </c>
      <c r="R197" s="97">
        <f t="shared" si="20"/>
        <v>-32</v>
      </c>
      <c r="S197" s="2">
        <v>29</v>
      </c>
      <c r="T197" s="131">
        <f t="shared" si="21"/>
        <v>0</v>
      </c>
      <c r="U197" s="131">
        <f t="shared" si="22"/>
        <v>-960</v>
      </c>
      <c r="V197" s="118">
        <f t="shared" si="23"/>
        <v>129</v>
      </c>
    </row>
    <row r="198" spans="1:22" ht="15">
      <c r="A198" s="125" t="s">
        <v>123</v>
      </c>
      <c r="B198" s="126">
        <v>43556</v>
      </c>
      <c r="C198" s="127" t="s">
        <v>626</v>
      </c>
      <c r="D198" s="128">
        <v>200</v>
      </c>
      <c r="K198" s="129">
        <v>43556</v>
      </c>
      <c r="M198" s="124">
        <f aca="true" t="shared" si="24" ref="M198:M206">+N198</f>
        <v>43600</v>
      </c>
      <c r="N198" s="124">
        <v>43600</v>
      </c>
      <c r="O198" s="97">
        <f aca="true" t="shared" si="25" ref="O198:O206">+K198-M198</f>
        <v>-44</v>
      </c>
      <c r="P198" s="97">
        <f aca="true" t="shared" si="26" ref="P198:P206">+N198-M198</f>
        <v>0</v>
      </c>
      <c r="Q198" s="97">
        <f aca="true" t="shared" si="27" ref="Q198:Q206">+N198-K198</f>
        <v>44</v>
      </c>
      <c r="R198" s="97">
        <f aca="true" t="shared" si="28" ref="R198:R206">+Q198-30</f>
        <v>14</v>
      </c>
      <c r="S198" s="2">
        <v>29</v>
      </c>
      <c r="T198" s="131">
        <f aca="true" t="shared" si="29" ref="T198:T206">+P198*D198</f>
        <v>0</v>
      </c>
      <c r="U198" s="131">
        <f aca="true" t="shared" si="30" ref="U198:U206">+R198*D198</f>
        <v>2800</v>
      </c>
      <c r="V198" s="118">
        <f aca="true" t="shared" si="31" ref="V198:V206">IF(P198&gt;30,200+S198,100+S198)</f>
        <v>129</v>
      </c>
    </row>
    <row r="199" spans="1:22" ht="15">
      <c r="A199" s="125" t="s">
        <v>122</v>
      </c>
      <c r="B199" s="126">
        <v>43557</v>
      </c>
      <c r="C199" s="127" t="s">
        <v>627</v>
      </c>
      <c r="D199" s="128">
        <v>669.24</v>
      </c>
      <c r="K199" s="129">
        <v>43619</v>
      </c>
      <c r="M199" s="124">
        <f t="shared" si="24"/>
        <v>43565</v>
      </c>
      <c r="N199" s="124">
        <v>43565</v>
      </c>
      <c r="O199" s="97">
        <f t="shared" si="25"/>
        <v>54</v>
      </c>
      <c r="P199" s="97">
        <f t="shared" si="26"/>
        <v>0</v>
      </c>
      <c r="Q199" s="97">
        <f t="shared" si="27"/>
        <v>-54</v>
      </c>
      <c r="R199" s="97">
        <f t="shared" si="28"/>
        <v>-84</v>
      </c>
      <c r="S199" s="2">
        <v>21</v>
      </c>
      <c r="T199" s="131">
        <f t="shared" si="29"/>
        <v>0</v>
      </c>
      <c r="U199" s="131">
        <f t="shared" si="30"/>
        <v>-56216.16</v>
      </c>
      <c r="V199" s="118">
        <f t="shared" si="31"/>
        <v>121</v>
      </c>
    </row>
    <row r="200" spans="1:22" ht="15">
      <c r="A200" s="125" t="s">
        <v>121</v>
      </c>
      <c r="B200" s="126">
        <v>43584</v>
      </c>
      <c r="C200" s="127" t="s">
        <v>628</v>
      </c>
      <c r="D200" s="128">
        <v>312.41</v>
      </c>
      <c r="K200" s="129">
        <v>43619</v>
      </c>
      <c r="M200" s="124">
        <f t="shared" si="24"/>
        <v>43588</v>
      </c>
      <c r="N200" s="124">
        <v>43588</v>
      </c>
      <c r="O200" s="97">
        <f t="shared" si="25"/>
        <v>31</v>
      </c>
      <c r="P200" s="97">
        <f t="shared" si="26"/>
        <v>0</v>
      </c>
      <c r="Q200" s="97">
        <f t="shared" si="27"/>
        <v>-31</v>
      </c>
      <c r="R200" s="97">
        <f t="shared" si="28"/>
        <v>-61</v>
      </c>
      <c r="S200" s="2">
        <v>21</v>
      </c>
      <c r="T200" s="131">
        <f t="shared" si="29"/>
        <v>0</v>
      </c>
      <c r="U200" s="131">
        <f t="shared" si="30"/>
        <v>-19057.010000000002</v>
      </c>
      <c r="V200" s="118">
        <f t="shared" si="31"/>
        <v>121</v>
      </c>
    </row>
    <row r="201" spans="1:22" ht="15">
      <c r="A201" s="125" t="s">
        <v>120</v>
      </c>
      <c r="B201" s="126">
        <v>43627</v>
      </c>
      <c r="C201" s="127" t="s">
        <v>629</v>
      </c>
      <c r="D201" s="128">
        <v>186.45</v>
      </c>
      <c r="K201" s="129">
        <v>43635</v>
      </c>
      <c r="M201" s="124">
        <f t="shared" si="24"/>
        <v>43633</v>
      </c>
      <c r="N201" s="124">
        <v>43633</v>
      </c>
      <c r="O201" s="97">
        <f t="shared" si="25"/>
        <v>2</v>
      </c>
      <c r="P201" s="97">
        <f t="shared" si="26"/>
        <v>0</v>
      </c>
      <c r="Q201" s="97">
        <f t="shared" si="27"/>
        <v>-2</v>
      </c>
      <c r="R201" s="97">
        <f t="shared" si="28"/>
        <v>-32</v>
      </c>
      <c r="S201" s="2">
        <v>21</v>
      </c>
      <c r="T201" s="131">
        <f t="shared" si="29"/>
        <v>0</v>
      </c>
      <c r="U201" s="131">
        <f t="shared" si="30"/>
        <v>-5966.4</v>
      </c>
      <c r="V201" s="118">
        <f t="shared" si="31"/>
        <v>121</v>
      </c>
    </row>
    <row r="202" spans="1:22" ht="15">
      <c r="A202" s="125" t="s">
        <v>119</v>
      </c>
      <c r="B202" s="126">
        <v>43560</v>
      </c>
      <c r="C202" s="127" t="s">
        <v>630</v>
      </c>
      <c r="D202" s="128">
        <v>726</v>
      </c>
      <c r="K202" s="129">
        <v>43566</v>
      </c>
      <c r="M202" s="124">
        <f t="shared" si="24"/>
        <v>43570</v>
      </c>
      <c r="N202" s="124">
        <v>43570</v>
      </c>
      <c r="O202" s="97">
        <f t="shared" si="25"/>
        <v>-4</v>
      </c>
      <c r="P202" s="97">
        <f t="shared" si="26"/>
        <v>0</v>
      </c>
      <c r="Q202" s="97">
        <f t="shared" si="27"/>
        <v>4</v>
      </c>
      <c r="R202" s="97">
        <f t="shared" si="28"/>
        <v>-26</v>
      </c>
      <c r="S202" s="2">
        <v>29</v>
      </c>
      <c r="T202" s="131">
        <f t="shared" si="29"/>
        <v>0</v>
      </c>
      <c r="U202" s="131">
        <f t="shared" si="30"/>
        <v>-18876</v>
      </c>
      <c r="V202" s="118">
        <f t="shared" si="31"/>
        <v>129</v>
      </c>
    </row>
    <row r="203" spans="1:22" ht="15">
      <c r="A203" s="125" t="s">
        <v>118</v>
      </c>
      <c r="B203" s="126">
        <v>43570</v>
      </c>
      <c r="C203" s="127" t="s">
        <v>631</v>
      </c>
      <c r="D203" s="128">
        <v>600</v>
      </c>
      <c r="K203" s="129">
        <v>43591</v>
      </c>
      <c r="M203" s="124">
        <f t="shared" si="24"/>
        <v>43600</v>
      </c>
      <c r="N203" s="124">
        <v>43600</v>
      </c>
      <c r="O203" s="97">
        <f t="shared" si="25"/>
        <v>-9</v>
      </c>
      <c r="P203" s="97">
        <f t="shared" si="26"/>
        <v>0</v>
      </c>
      <c r="Q203" s="97">
        <f t="shared" si="27"/>
        <v>9</v>
      </c>
      <c r="R203" s="97">
        <f t="shared" si="28"/>
        <v>-21</v>
      </c>
      <c r="S203" s="2">
        <v>29</v>
      </c>
      <c r="T203" s="131">
        <f t="shared" si="29"/>
        <v>0</v>
      </c>
      <c r="U203" s="131">
        <f t="shared" si="30"/>
        <v>-12600</v>
      </c>
      <c r="V203" s="118">
        <f t="shared" si="31"/>
        <v>129</v>
      </c>
    </row>
    <row r="204" spans="1:22" ht="15">
      <c r="A204" s="125" t="s">
        <v>117</v>
      </c>
      <c r="B204" s="126">
        <v>43612</v>
      </c>
      <c r="C204" s="127" t="s">
        <v>632</v>
      </c>
      <c r="D204" s="128">
        <v>723.58</v>
      </c>
      <c r="K204" s="129">
        <v>43629</v>
      </c>
      <c r="M204" s="124">
        <f t="shared" si="24"/>
        <v>43633</v>
      </c>
      <c r="N204" s="124">
        <v>43633</v>
      </c>
      <c r="O204" s="97">
        <f t="shared" si="25"/>
        <v>-4</v>
      </c>
      <c r="P204" s="97">
        <f t="shared" si="26"/>
        <v>0</v>
      </c>
      <c r="Q204" s="97">
        <f t="shared" si="27"/>
        <v>4</v>
      </c>
      <c r="R204" s="97">
        <f t="shared" si="28"/>
        <v>-26</v>
      </c>
      <c r="S204" s="2">
        <v>29</v>
      </c>
      <c r="T204" s="131">
        <f t="shared" si="29"/>
        <v>0</v>
      </c>
      <c r="U204" s="131">
        <f t="shared" si="30"/>
        <v>-18813.08</v>
      </c>
      <c r="V204" s="118">
        <f t="shared" si="31"/>
        <v>129</v>
      </c>
    </row>
    <row r="205" spans="1:22" ht="15">
      <c r="A205" s="125" t="s">
        <v>115</v>
      </c>
      <c r="B205" s="126">
        <v>43585</v>
      </c>
      <c r="C205" s="127" t="s">
        <v>634</v>
      </c>
      <c r="D205" s="128">
        <v>14.85</v>
      </c>
      <c r="K205" s="129">
        <v>43609</v>
      </c>
      <c r="M205" s="124">
        <f t="shared" si="24"/>
        <v>43615</v>
      </c>
      <c r="N205" s="124">
        <v>43615</v>
      </c>
      <c r="O205" s="97">
        <f t="shared" si="25"/>
        <v>-6</v>
      </c>
      <c r="P205" s="97">
        <f t="shared" si="26"/>
        <v>0</v>
      </c>
      <c r="Q205" s="97">
        <f t="shared" si="27"/>
        <v>6</v>
      </c>
      <c r="R205" s="97">
        <f t="shared" si="28"/>
        <v>-24</v>
      </c>
      <c r="S205" s="2">
        <v>29</v>
      </c>
      <c r="T205" s="131">
        <f t="shared" si="29"/>
        <v>0</v>
      </c>
      <c r="U205" s="131">
        <f t="shared" si="30"/>
        <v>-356.4</v>
      </c>
      <c r="V205" s="118">
        <f t="shared" si="31"/>
        <v>129</v>
      </c>
    </row>
    <row r="206" spans="1:22" ht="15">
      <c r="A206" s="125" t="s">
        <v>112</v>
      </c>
      <c r="B206" s="126">
        <v>43635</v>
      </c>
      <c r="C206" s="127" t="s">
        <v>637</v>
      </c>
      <c r="D206" s="128">
        <v>50</v>
      </c>
      <c r="K206" s="129">
        <v>43637</v>
      </c>
      <c r="M206" s="124">
        <f t="shared" si="24"/>
        <v>43642</v>
      </c>
      <c r="N206" s="124">
        <v>43642</v>
      </c>
      <c r="O206" s="97">
        <f t="shared" si="25"/>
        <v>-5</v>
      </c>
      <c r="P206" s="97">
        <f t="shared" si="26"/>
        <v>0</v>
      </c>
      <c r="Q206" s="97">
        <f t="shared" si="27"/>
        <v>5</v>
      </c>
      <c r="R206" s="97">
        <f t="shared" si="28"/>
        <v>-25</v>
      </c>
      <c r="S206" s="2">
        <v>29</v>
      </c>
      <c r="T206" s="131">
        <f t="shared" si="29"/>
        <v>0</v>
      </c>
      <c r="U206" s="131">
        <f t="shared" si="30"/>
        <v>-1250</v>
      </c>
      <c r="V206" s="118">
        <f t="shared" si="31"/>
        <v>129</v>
      </c>
    </row>
  </sheetData>
  <sheetProtection selectLockedCells="1" selectUnlockedCells="1"/>
  <mergeCells count="1">
    <mergeCell ref="M2:N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Orria3">
    <tabColor indexed="41"/>
  </sheetPr>
  <dimension ref="A1:V35"/>
  <sheetViews>
    <sheetView zoomScalePageLayoutView="0" workbookViewId="0" topLeftCell="C1">
      <pane ySplit="8" topLeftCell="A9" activePane="bottomLeft" state="frozen"/>
      <selection pane="topLeft" activeCell="A1" sqref="A1"/>
      <selection pane="bottomLeft" activeCell="C9" sqref="A9:IV35"/>
    </sheetView>
  </sheetViews>
  <sheetFormatPr defaultColWidth="9.140625" defaultRowHeight="12.75"/>
  <cols>
    <col min="1" max="1" width="10.8515625" style="2" customWidth="1"/>
    <col min="2" max="2" width="10.7109375" style="15" bestFit="1" customWidth="1"/>
    <col min="3" max="3" width="9.140625" style="2" customWidth="1"/>
    <col min="4" max="4" width="11.140625" style="8" customWidth="1"/>
    <col min="5" max="5" width="7.421875" style="2" bestFit="1" customWidth="1"/>
    <col min="6" max="7" width="9.140625" style="2" customWidth="1"/>
    <col min="8" max="8" width="7.421875" style="2" customWidth="1"/>
    <col min="9" max="9" width="7.00390625" style="2" customWidth="1"/>
    <col min="10" max="10" width="3.57421875" style="2" customWidth="1"/>
    <col min="11" max="11" width="15.421875" style="15" bestFit="1" customWidth="1"/>
    <col min="12" max="12" width="9.28125" style="15" bestFit="1" customWidth="1"/>
    <col min="13" max="13" width="19.57421875" style="15" customWidth="1"/>
    <col min="14" max="14" width="12.421875" style="15" customWidth="1"/>
    <col min="15" max="16" width="9.28125" style="10" bestFit="1" customWidth="1"/>
    <col min="17" max="17" width="10.00390625" style="10" bestFit="1" customWidth="1"/>
    <col min="18" max="18" width="8.7109375" style="10" bestFit="1" customWidth="1"/>
    <col min="19" max="19" width="8.140625" style="2" customWidth="1"/>
    <col min="20" max="21" width="14.57421875" style="8" bestFit="1" customWidth="1"/>
    <col min="22" max="16384" width="9.140625" style="2" customWidth="1"/>
  </cols>
  <sheetData>
    <row r="1" spans="1:17" ht="11.25">
      <c r="A1" s="3" t="s">
        <v>80</v>
      </c>
      <c r="B1" s="17"/>
      <c r="C1" s="4"/>
      <c r="D1" s="7"/>
      <c r="E1" s="4"/>
      <c r="F1" s="4"/>
      <c r="G1" s="4"/>
      <c r="H1" s="4"/>
      <c r="I1" s="4"/>
      <c r="J1" s="4"/>
      <c r="O1" s="97"/>
      <c r="P1" s="97"/>
      <c r="Q1" s="98"/>
    </row>
    <row r="2" spans="1:17" ht="11.25">
      <c r="A2" s="3"/>
      <c r="B2" s="17"/>
      <c r="C2" s="4"/>
      <c r="D2" s="7"/>
      <c r="E2" s="4"/>
      <c r="F2" s="4"/>
      <c r="G2" s="4"/>
      <c r="H2" s="4"/>
      <c r="I2" s="4"/>
      <c r="J2" s="4"/>
      <c r="K2" s="15" t="s">
        <v>101</v>
      </c>
      <c r="O2" s="97"/>
      <c r="P2" s="97" t="s">
        <v>109</v>
      </c>
      <c r="Q2" s="120">
        <v>43646</v>
      </c>
    </row>
    <row r="3" spans="1:13" ht="11.25">
      <c r="A3" s="3"/>
      <c r="B3" s="17"/>
      <c r="C3" s="4"/>
      <c r="D3" s="7"/>
      <c r="E3" s="4"/>
      <c r="F3" s="4"/>
      <c r="G3" s="4"/>
      <c r="H3" s="4"/>
      <c r="I3" s="4"/>
      <c r="J3" s="4"/>
      <c r="K3" s="15" t="s">
        <v>103</v>
      </c>
      <c r="M3" s="15" t="s">
        <v>99</v>
      </c>
    </row>
    <row r="4" spans="1:13" ht="11.25">
      <c r="A4" s="3"/>
      <c r="B4" s="17"/>
      <c r="C4" s="4"/>
      <c r="D4" s="7"/>
      <c r="E4" s="4"/>
      <c r="F4" s="4"/>
      <c r="G4" s="4"/>
      <c r="H4" s="4"/>
      <c r="I4" s="4"/>
      <c r="J4" s="4"/>
      <c r="M4" s="15" t="s">
        <v>104</v>
      </c>
    </row>
    <row r="5" spans="1:13" ht="11.25">
      <c r="A5" s="3"/>
      <c r="B5" s="17"/>
      <c r="C5" s="4"/>
      <c r="D5" s="7"/>
      <c r="E5" s="4"/>
      <c r="F5" s="4"/>
      <c r="G5" s="4"/>
      <c r="H5" s="4"/>
      <c r="I5" s="4"/>
      <c r="J5" s="4"/>
      <c r="M5" s="15" t="s">
        <v>105</v>
      </c>
    </row>
    <row r="6" spans="1:13" ht="11.25">
      <c r="A6" s="3"/>
      <c r="B6" s="17"/>
      <c r="C6" s="4"/>
      <c r="D6" s="7"/>
      <c r="E6" s="4"/>
      <c r="F6" s="4"/>
      <c r="G6" s="4"/>
      <c r="H6" s="4"/>
      <c r="I6" s="4"/>
      <c r="J6" s="4"/>
      <c r="M6" s="15" t="s">
        <v>106</v>
      </c>
    </row>
    <row r="8" spans="1:22" ht="38.25" customHeight="1">
      <c r="A8" s="5" t="s">
        <v>75</v>
      </c>
      <c r="B8" s="18" t="s">
        <v>70</v>
      </c>
      <c r="C8" s="6" t="s">
        <v>85</v>
      </c>
      <c r="D8" s="9" t="s">
        <v>44</v>
      </c>
      <c r="E8" s="5" t="s">
        <v>84</v>
      </c>
      <c r="F8" s="6" t="s">
        <v>71</v>
      </c>
      <c r="G8" s="6" t="s">
        <v>72</v>
      </c>
      <c r="H8" s="6" t="s">
        <v>82</v>
      </c>
      <c r="I8" s="6" t="s">
        <v>83</v>
      </c>
      <c r="J8" s="6" t="s">
        <v>73</v>
      </c>
      <c r="K8" s="16" t="s">
        <v>74</v>
      </c>
      <c r="L8" s="16" t="s">
        <v>76</v>
      </c>
      <c r="M8" s="16" t="s">
        <v>91</v>
      </c>
      <c r="N8" s="16" t="s">
        <v>92</v>
      </c>
      <c r="O8" s="11" t="s">
        <v>77</v>
      </c>
      <c r="P8" s="12" t="s">
        <v>86</v>
      </c>
      <c r="Q8" s="13" t="s">
        <v>87</v>
      </c>
      <c r="R8" s="14" t="s">
        <v>50</v>
      </c>
      <c r="S8" s="2" t="s">
        <v>93</v>
      </c>
      <c r="T8" s="8" t="s">
        <v>94</v>
      </c>
      <c r="U8" s="8" t="s">
        <v>95</v>
      </c>
      <c r="V8" s="2" t="s">
        <v>96</v>
      </c>
    </row>
    <row r="9" spans="1:22" ht="15">
      <c r="A9" s="125" t="s">
        <v>363</v>
      </c>
      <c r="B9" s="126">
        <v>43626</v>
      </c>
      <c r="C9" s="127" t="s">
        <v>391</v>
      </c>
      <c r="D9" s="128">
        <v>771.96</v>
      </c>
      <c r="F9" s="121"/>
      <c r="K9" s="129">
        <v>43637</v>
      </c>
      <c r="M9" s="124">
        <f aca="true" t="shared" si="0" ref="M9:M35">+N9</f>
        <v>43661</v>
      </c>
      <c r="N9" s="130">
        <v>43661</v>
      </c>
      <c r="O9" s="97">
        <f aca="true" t="shared" si="1" ref="O9:O35">+N9-M9</f>
        <v>0</v>
      </c>
      <c r="P9" s="97">
        <f aca="true" t="shared" si="2" ref="P9:P35">+M9-$Q$2</f>
        <v>15</v>
      </c>
      <c r="Q9" s="97">
        <f aca="true" t="shared" si="3" ref="Q9:Q35">+N9-$Q$2</f>
        <v>15</v>
      </c>
      <c r="R9" s="97">
        <f>+Q9-30</f>
        <v>-15</v>
      </c>
      <c r="S9" s="2">
        <v>29</v>
      </c>
      <c r="T9" s="131"/>
      <c r="U9" s="131"/>
      <c r="V9" s="118"/>
    </row>
    <row r="10" spans="1:22" ht="15">
      <c r="A10" s="125" t="s">
        <v>360</v>
      </c>
      <c r="B10" s="126">
        <v>43628</v>
      </c>
      <c r="C10" s="127" t="s">
        <v>394</v>
      </c>
      <c r="D10" s="128">
        <v>4513.3</v>
      </c>
      <c r="F10" s="121"/>
      <c r="K10" s="129">
        <v>43636</v>
      </c>
      <c r="M10" s="124">
        <f t="shared" si="0"/>
        <v>43661</v>
      </c>
      <c r="N10" s="130">
        <v>43661</v>
      </c>
      <c r="O10" s="97">
        <f t="shared" si="1"/>
        <v>0</v>
      </c>
      <c r="P10" s="97">
        <f t="shared" si="2"/>
        <v>15</v>
      </c>
      <c r="Q10" s="97">
        <f t="shared" si="3"/>
        <v>15</v>
      </c>
      <c r="R10" s="97">
        <f aca="true" t="shared" si="4" ref="R10:R35">+Q10-30</f>
        <v>-15</v>
      </c>
      <c r="S10" s="2">
        <v>29</v>
      </c>
      <c r="T10" s="131"/>
      <c r="U10" s="131"/>
      <c r="V10" s="118"/>
    </row>
    <row r="11" spans="1:22" ht="15">
      <c r="A11" s="125" t="s">
        <v>354</v>
      </c>
      <c r="B11" s="126">
        <v>43556</v>
      </c>
      <c r="C11" s="127" t="s">
        <v>400</v>
      </c>
      <c r="D11" s="128">
        <v>611.06</v>
      </c>
      <c r="F11" s="121"/>
      <c r="K11" s="129">
        <v>43556</v>
      </c>
      <c r="M11" s="124">
        <f t="shared" si="0"/>
        <v>43661</v>
      </c>
      <c r="N11" s="130">
        <v>43661</v>
      </c>
      <c r="O11" s="97">
        <f t="shared" si="1"/>
        <v>0</v>
      </c>
      <c r="P11" s="97">
        <f t="shared" si="2"/>
        <v>15</v>
      </c>
      <c r="Q11" s="97">
        <f t="shared" si="3"/>
        <v>15</v>
      </c>
      <c r="R11" s="97">
        <f t="shared" si="4"/>
        <v>-15</v>
      </c>
      <c r="S11" s="2">
        <v>29</v>
      </c>
      <c r="T11" s="131"/>
      <c r="U11" s="131"/>
      <c r="V11" s="118"/>
    </row>
    <row r="12" spans="1:22" ht="15">
      <c r="A12" s="125" t="s">
        <v>332</v>
      </c>
      <c r="B12" s="126">
        <v>43581</v>
      </c>
      <c r="C12" s="127" t="s">
        <v>422</v>
      </c>
      <c r="D12" s="128">
        <v>1361.59</v>
      </c>
      <c r="F12" s="121"/>
      <c r="K12" s="129">
        <v>43594</v>
      </c>
      <c r="M12" s="124">
        <f t="shared" si="0"/>
        <v>43648</v>
      </c>
      <c r="N12" s="124">
        <v>43648</v>
      </c>
      <c r="O12" s="97">
        <f t="shared" si="1"/>
        <v>0</v>
      </c>
      <c r="P12" s="97">
        <f t="shared" si="2"/>
        <v>2</v>
      </c>
      <c r="Q12" s="97">
        <f t="shared" si="3"/>
        <v>2</v>
      </c>
      <c r="R12" s="97">
        <f t="shared" si="4"/>
        <v>-28</v>
      </c>
      <c r="S12" s="2">
        <v>21</v>
      </c>
      <c r="T12" s="131"/>
      <c r="U12" s="131"/>
      <c r="V12" s="118"/>
    </row>
    <row r="13" spans="1:22" ht="15">
      <c r="A13" s="125" t="s">
        <v>283</v>
      </c>
      <c r="B13" s="126">
        <v>43566</v>
      </c>
      <c r="C13" s="127" t="s">
        <v>471</v>
      </c>
      <c r="D13" s="128">
        <v>7.07</v>
      </c>
      <c r="F13" s="121"/>
      <c r="K13" s="129">
        <v>43566</v>
      </c>
      <c r="M13" s="124">
        <f t="shared" si="0"/>
        <v>43661</v>
      </c>
      <c r="N13" s="122">
        <v>43661</v>
      </c>
      <c r="O13" s="97">
        <f t="shared" si="1"/>
        <v>0</v>
      </c>
      <c r="P13" s="97">
        <f t="shared" si="2"/>
        <v>15</v>
      </c>
      <c r="Q13" s="97">
        <f t="shared" si="3"/>
        <v>15</v>
      </c>
      <c r="R13" s="97">
        <f t="shared" si="4"/>
        <v>-15</v>
      </c>
      <c r="S13" s="2">
        <v>22</v>
      </c>
      <c r="T13" s="131"/>
      <c r="U13" s="131"/>
      <c r="V13" s="118"/>
    </row>
    <row r="14" spans="1:22" ht="15">
      <c r="A14" s="125" t="s">
        <v>251</v>
      </c>
      <c r="B14" s="126">
        <v>43643</v>
      </c>
      <c r="C14" s="127" t="s">
        <v>503</v>
      </c>
      <c r="D14" s="128">
        <v>487.01</v>
      </c>
      <c r="F14" s="121"/>
      <c r="K14" s="129">
        <v>43643</v>
      </c>
      <c r="M14" s="124">
        <f t="shared" si="0"/>
        <v>43662</v>
      </c>
      <c r="N14" s="122">
        <v>43662</v>
      </c>
      <c r="O14" s="97">
        <f t="shared" si="1"/>
        <v>0</v>
      </c>
      <c r="P14" s="97">
        <f t="shared" si="2"/>
        <v>16</v>
      </c>
      <c r="Q14" s="97">
        <f t="shared" si="3"/>
        <v>16</v>
      </c>
      <c r="R14" s="97">
        <f t="shared" si="4"/>
        <v>-14</v>
      </c>
      <c r="S14" s="2">
        <v>29</v>
      </c>
      <c r="T14" s="131"/>
      <c r="U14" s="131"/>
      <c r="V14" s="118"/>
    </row>
    <row r="15" spans="1:22" ht="15">
      <c r="A15" s="125" t="s">
        <v>250</v>
      </c>
      <c r="B15" s="126">
        <v>43643</v>
      </c>
      <c r="C15" s="127" t="s">
        <v>504</v>
      </c>
      <c r="D15" s="128">
        <v>315.11</v>
      </c>
      <c r="F15" s="121"/>
      <c r="K15" s="129">
        <v>43643</v>
      </c>
      <c r="M15" s="124">
        <f t="shared" si="0"/>
        <v>43662</v>
      </c>
      <c r="N15" s="122">
        <v>43662</v>
      </c>
      <c r="O15" s="97">
        <f t="shared" si="1"/>
        <v>0</v>
      </c>
      <c r="P15" s="97">
        <f t="shared" si="2"/>
        <v>16</v>
      </c>
      <c r="Q15" s="97">
        <f t="shared" si="3"/>
        <v>16</v>
      </c>
      <c r="R15" s="97">
        <f t="shared" si="4"/>
        <v>-14</v>
      </c>
      <c r="S15" s="2">
        <v>29</v>
      </c>
      <c r="T15" s="131"/>
      <c r="U15" s="131"/>
      <c r="V15" s="118"/>
    </row>
    <row r="16" spans="1:22" ht="15">
      <c r="A16" s="125" t="s">
        <v>249</v>
      </c>
      <c r="B16" s="126">
        <v>43643</v>
      </c>
      <c r="C16" s="127" t="s">
        <v>505</v>
      </c>
      <c r="D16" s="128">
        <v>947.14</v>
      </c>
      <c r="F16" s="121"/>
      <c r="K16" s="129">
        <v>43643</v>
      </c>
      <c r="M16" s="124">
        <f t="shared" si="0"/>
        <v>43662</v>
      </c>
      <c r="N16" s="122">
        <v>43662</v>
      </c>
      <c r="O16" s="97">
        <f t="shared" si="1"/>
        <v>0</v>
      </c>
      <c r="P16" s="97">
        <f t="shared" si="2"/>
        <v>16</v>
      </c>
      <c r="Q16" s="97">
        <f t="shared" si="3"/>
        <v>16</v>
      </c>
      <c r="R16" s="97">
        <f t="shared" si="4"/>
        <v>-14</v>
      </c>
      <c r="S16" s="2">
        <v>29</v>
      </c>
      <c r="T16" s="131"/>
      <c r="U16" s="131"/>
      <c r="V16" s="118"/>
    </row>
    <row r="17" spans="1:22" ht="15">
      <c r="A17" s="125" t="s">
        <v>248</v>
      </c>
      <c r="B17" s="126">
        <v>43643</v>
      </c>
      <c r="C17" s="127" t="s">
        <v>506</v>
      </c>
      <c r="D17" s="128">
        <v>37.57</v>
      </c>
      <c r="F17" s="121"/>
      <c r="K17" s="129">
        <v>43643</v>
      </c>
      <c r="M17" s="124">
        <f t="shared" si="0"/>
        <v>43662</v>
      </c>
      <c r="N17" s="122">
        <v>43662</v>
      </c>
      <c r="O17" s="97">
        <f t="shared" si="1"/>
        <v>0</v>
      </c>
      <c r="P17" s="97">
        <f t="shared" si="2"/>
        <v>16</v>
      </c>
      <c r="Q17" s="97">
        <f t="shared" si="3"/>
        <v>16</v>
      </c>
      <c r="R17" s="97">
        <f t="shared" si="4"/>
        <v>-14</v>
      </c>
      <c r="S17" s="2">
        <v>29</v>
      </c>
      <c r="T17" s="131"/>
      <c r="U17" s="131"/>
      <c r="V17" s="118"/>
    </row>
    <row r="18" spans="1:22" ht="15">
      <c r="A18" s="125" t="s">
        <v>247</v>
      </c>
      <c r="B18" s="126">
        <v>43643</v>
      </c>
      <c r="C18" s="127" t="s">
        <v>507</v>
      </c>
      <c r="D18" s="128">
        <v>25.6</v>
      </c>
      <c r="F18" s="121"/>
      <c r="K18" s="129">
        <v>43643</v>
      </c>
      <c r="M18" s="124">
        <f t="shared" si="0"/>
        <v>43662</v>
      </c>
      <c r="N18" s="122">
        <v>43662</v>
      </c>
      <c r="O18" s="97">
        <f t="shared" si="1"/>
        <v>0</v>
      </c>
      <c r="P18" s="97">
        <f t="shared" si="2"/>
        <v>16</v>
      </c>
      <c r="Q18" s="97">
        <f t="shared" si="3"/>
        <v>16</v>
      </c>
      <c r="R18" s="97">
        <f t="shared" si="4"/>
        <v>-14</v>
      </c>
      <c r="S18" s="2">
        <v>29</v>
      </c>
      <c r="T18" s="131"/>
      <c r="U18" s="131"/>
      <c r="V18" s="118"/>
    </row>
    <row r="19" spans="1:22" ht="15">
      <c r="A19" s="125" t="s">
        <v>246</v>
      </c>
      <c r="B19" s="126">
        <v>43643</v>
      </c>
      <c r="C19" s="127" t="s">
        <v>508</v>
      </c>
      <c r="D19" s="128">
        <v>36.75</v>
      </c>
      <c r="F19" s="121"/>
      <c r="K19" s="129">
        <v>43643</v>
      </c>
      <c r="M19" s="124">
        <f t="shared" si="0"/>
        <v>43662</v>
      </c>
      <c r="N19" s="122">
        <v>43662</v>
      </c>
      <c r="O19" s="97">
        <f t="shared" si="1"/>
        <v>0</v>
      </c>
      <c r="P19" s="97">
        <f t="shared" si="2"/>
        <v>16</v>
      </c>
      <c r="Q19" s="97">
        <f t="shared" si="3"/>
        <v>16</v>
      </c>
      <c r="R19" s="97">
        <f t="shared" si="4"/>
        <v>-14</v>
      </c>
      <c r="S19" s="2">
        <v>29</v>
      </c>
      <c r="T19" s="131"/>
      <c r="U19" s="131"/>
      <c r="V19" s="118"/>
    </row>
    <row r="20" spans="1:22" ht="15">
      <c r="A20" s="125" t="s">
        <v>245</v>
      </c>
      <c r="B20" s="126">
        <v>43643</v>
      </c>
      <c r="C20" s="127" t="s">
        <v>509</v>
      </c>
      <c r="D20" s="128">
        <v>16.82</v>
      </c>
      <c r="F20" s="121"/>
      <c r="K20" s="129">
        <v>43643</v>
      </c>
      <c r="M20" s="124">
        <f t="shared" si="0"/>
        <v>43662</v>
      </c>
      <c r="N20" s="122">
        <v>43662</v>
      </c>
      <c r="O20" s="97">
        <f t="shared" si="1"/>
        <v>0</v>
      </c>
      <c r="P20" s="97">
        <f t="shared" si="2"/>
        <v>16</v>
      </c>
      <c r="Q20" s="97">
        <f t="shared" si="3"/>
        <v>16</v>
      </c>
      <c r="R20" s="97">
        <f t="shared" si="4"/>
        <v>-14</v>
      </c>
      <c r="S20" s="2">
        <v>29</v>
      </c>
      <c r="T20" s="131"/>
      <c r="U20" s="131"/>
      <c r="V20" s="118"/>
    </row>
    <row r="21" spans="1:22" ht="15">
      <c r="A21" s="125" t="s">
        <v>244</v>
      </c>
      <c r="B21" s="126">
        <v>43643</v>
      </c>
      <c r="C21" s="127" t="s">
        <v>510</v>
      </c>
      <c r="D21" s="128">
        <v>18.53</v>
      </c>
      <c r="F21" s="121"/>
      <c r="K21" s="129">
        <v>43643</v>
      </c>
      <c r="M21" s="124">
        <f t="shared" si="0"/>
        <v>43662</v>
      </c>
      <c r="N21" s="122">
        <v>43662</v>
      </c>
      <c r="O21" s="97">
        <f t="shared" si="1"/>
        <v>0</v>
      </c>
      <c r="P21" s="97">
        <f t="shared" si="2"/>
        <v>16</v>
      </c>
      <c r="Q21" s="97">
        <f t="shared" si="3"/>
        <v>16</v>
      </c>
      <c r="R21" s="97">
        <f t="shared" si="4"/>
        <v>-14</v>
      </c>
      <c r="S21" s="2">
        <v>29</v>
      </c>
      <c r="T21" s="131"/>
      <c r="U21" s="131"/>
      <c r="V21" s="118"/>
    </row>
    <row r="22" spans="1:22" ht="15">
      <c r="A22" s="125" t="s">
        <v>243</v>
      </c>
      <c r="B22" s="126">
        <v>43643</v>
      </c>
      <c r="C22" s="127" t="s">
        <v>511</v>
      </c>
      <c r="D22" s="128">
        <v>400.66</v>
      </c>
      <c r="F22" s="121"/>
      <c r="K22" s="129">
        <v>43643</v>
      </c>
      <c r="M22" s="124">
        <f t="shared" si="0"/>
        <v>43662</v>
      </c>
      <c r="N22" s="122">
        <v>43662</v>
      </c>
      <c r="O22" s="97">
        <f t="shared" si="1"/>
        <v>0</v>
      </c>
      <c r="P22" s="97">
        <f t="shared" si="2"/>
        <v>16</v>
      </c>
      <c r="Q22" s="97">
        <f t="shared" si="3"/>
        <v>16</v>
      </c>
      <c r="R22" s="97">
        <f t="shared" si="4"/>
        <v>-14</v>
      </c>
      <c r="S22" s="2">
        <v>29</v>
      </c>
      <c r="T22" s="131"/>
      <c r="U22" s="131"/>
      <c r="V22" s="118"/>
    </row>
    <row r="23" spans="1:22" ht="15">
      <c r="A23" s="125" t="s">
        <v>242</v>
      </c>
      <c r="B23" s="126">
        <v>43643</v>
      </c>
      <c r="C23" s="127" t="s">
        <v>512</v>
      </c>
      <c r="D23" s="128">
        <v>371.06</v>
      </c>
      <c r="F23" s="121"/>
      <c r="K23" s="129">
        <v>43643</v>
      </c>
      <c r="M23" s="124">
        <f t="shared" si="0"/>
        <v>43662</v>
      </c>
      <c r="N23" s="122">
        <v>43662</v>
      </c>
      <c r="O23" s="97">
        <f t="shared" si="1"/>
        <v>0</v>
      </c>
      <c r="P23" s="97">
        <f t="shared" si="2"/>
        <v>16</v>
      </c>
      <c r="Q23" s="97">
        <f t="shared" si="3"/>
        <v>16</v>
      </c>
      <c r="R23" s="97">
        <f t="shared" si="4"/>
        <v>-14</v>
      </c>
      <c r="S23" s="2">
        <v>29</v>
      </c>
      <c r="T23" s="131"/>
      <c r="U23" s="131"/>
      <c r="V23" s="118"/>
    </row>
    <row r="24" spans="1:22" ht="15">
      <c r="A24" s="125" t="s">
        <v>241</v>
      </c>
      <c r="B24" s="126">
        <v>43643</v>
      </c>
      <c r="C24" s="127" t="s">
        <v>513</v>
      </c>
      <c r="D24" s="128">
        <v>402.29</v>
      </c>
      <c r="F24" s="121"/>
      <c r="K24" s="129">
        <v>43643</v>
      </c>
      <c r="M24" s="124">
        <f t="shared" si="0"/>
        <v>43662</v>
      </c>
      <c r="N24" s="122">
        <v>43662</v>
      </c>
      <c r="O24" s="97">
        <f t="shared" si="1"/>
        <v>0</v>
      </c>
      <c r="P24" s="97">
        <f t="shared" si="2"/>
        <v>16</v>
      </c>
      <c r="Q24" s="97">
        <f t="shared" si="3"/>
        <v>16</v>
      </c>
      <c r="R24" s="97">
        <f t="shared" si="4"/>
        <v>-14</v>
      </c>
      <c r="S24" s="2">
        <v>29</v>
      </c>
      <c r="T24" s="131"/>
      <c r="U24" s="131"/>
      <c r="V24" s="118"/>
    </row>
    <row r="25" spans="1:22" ht="15">
      <c r="A25" s="125" t="s">
        <v>240</v>
      </c>
      <c r="B25" s="126">
        <v>43643</v>
      </c>
      <c r="C25" s="127" t="s">
        <v>514</v>
      </c>
      <c r="D25" s="128">
        <v>18.72</v>
      </c>
      <c r="F25" s="121"/>
      <c r="K25" s="129">
        <v>43643</v>
      </c>
      <c r="M25" s="124">
        <f t="shared" si="0"/>
        <v>43662</v>
      </c>
      <c r="N25" s="122">
        <v>43662</v>
      </c>
      <c r="O25" s="97">
        <f t="shared" si="1"/>
        <v>0</v>
      </c>
      <c r="P25" s="97">
        <f t="shared" si="2"/>
        <v>16</v>
      </c>
      <c r="Q25" s="97">
        <f t="shared" si="3"/>
        <v>16</v>
      </c>
      <c r="R25" s="97">
        <f t="shared" si="4"/>
        <v>-14</v>
      </c>
      <c r="S25" s="2">
        <v>29</v>
      </c>
      <c r="T25" s="131"/>
      <c r="U25" s="131"/>
      <c r="V25" s="118"/>
    </row>
    <row r="26" spans="1:22" ht="15">
      <c r="A26" s="125" t="s">
        <v>212</v>
      </c>
      <c r="B26" s="126">
        <v>43641</v>
      </c>
      <c r="C26" s="127" t="s">
        <v>542</v>
      </c>
      <c r="D26" s="128">
        <v>9.04</v>
      </c>
      <c r="F26" s="121"/>
      <c r="K26" s="129">
        <v>43641</v>
      </c>
      <c r="M26" s="124">
        <f t="shared" si="0"/>
        <v>43649</v>
      </c>
      <c r="N26" s="122">
        <v>43649</v>
      </c>
      <c r="O26" s="97">
        <f t="shared" si="1"/>
        <v>0</v>
      </c>
      <c r="P26" s="97">
        <f t="shared" si="2"/>
        <v>3</v>
      </c>
      <c r="Q26" s="97">
        <f t="shared" si="3"/>
        <v>3</v>
      </c>
      <c r="R26" s="97">
        <f t="shared" si="4"/>
        <v>-27</v>
      </c>
      <c r="S26" s="2">
        <v>22</v>
      </c>
      <c r="T26" s="131"/>
      <c r="U26" s="131"/>
      <c r="V26" s="118"/>
    </row>
    <row r="27" spans="1:22" ht="15">
      <c r="A27" s="125" t="s">
        <v>199</v>
      </c>
      <c r="B27" s="126">
        <v>43646</v>
      </c>
      <c r="C27" s="127" t="s">
        <v>555</v>
      </c>
      <c r="D27" s="128">
        <v>1464.06</v>
      </c>
      <c r="F27" s="121"/>
      <c r="K27" s="129">
        <v>43646</v>
      </c>
      <c r="M27" s="124">
        <f t="shared" si="0"/>
        <v>43647</v>
      </c>
      <c r="N27" s="122">
        <v>43647</v>
      </c>
      <c r="O27" s="97">
        <f t="shared" si="1"/>
        <v>0</v>
      </c>
      <c r="P27" s="97">
        <f t="shared" si="2"/>
        <v>1</v>
      </c>
      <c r="Q27" s="97">
        <f t="shared" si="3"/>
        <v>1</v>
      </c>
      <c r="R27" s="97">
        <f t="shared" si="4"/>
        <v>-29</v>
      </c>
      <c r="S27" s="2">
        <v>29</v>
      </c>
      <c r="T27" s="131"/>
      <c r="U27" s="131"/>
      <c r="V27" s="118"/>
    </row>
    <row r="28" spans="1:22" ht="15">
      <c r="A28" s="125" t="s">
        <v>197</v>
      </c>
      <c r="B28" s="126">
        <v>43646</v>
      </c>
      <c r="C28" s="127" t="s">
        <v>557</v>
      </c>
      <c r="D28" s="128">
        <v>1108.17</v>
      </c>
      <c r="F28" s="121"/>
      <c r="K28" s="129">
        <v>43646</v>
      </c>
      <c r="M28" s="124">
        <f t="shared" si="0"/>
        <v>43647</v>
      </c>
      <c r="N28" s="122">
        <v>43647</v>
      </c>
      <c r="O28" s="97">
        <f t="shared" si="1"/>
        <v>0</v>
      </c>
      <c r="P28" s="97">
        <f t="shared" si="2"/>
        <v>1</v>
      </c>
      <c r="Q28" s="97">
        <f t="shared" si="3"/>
        <v>1</v>
      </c>
      <c r="R28" s="97">
        <f t="shared" si="4"/>
        <v>-29</v>
      </c>
      <c r="S28" s="2">
        <v>29</v>
      </c>
      <c r="T28" s="131"/>
      <c r="U28" s="131"/>
      <c r="V28" s="118"/>
    </row>
    <row r="29" spans="1:22" ht="15">
      <c r="A29" s="125" t="s">
        <v>193</v>
      </c>
      <c r="B29" s="126">
        <v>43616</v>
      </c>
      <c r="C29" s="127" t="s">
        <v>561</v>
      </c>
      <c r="D29" s="128">
        <v>97.38</v>
      </c>
      <c r="F29" s="121"/>
      <c r="K29" s="129">
        <v>43620</v>
      </c>
      <c r="M29" s="124">
        <f t="shared" si="0"/>
        <v>43647</v>
      </c>
      <c r="N29" s="122">
        <v>43647</v>
      </c>
      <c r="O29" s="97">
        <f t="shared" si="1"/>
        <v>0</v>
      </c>
      <c r="P29" s="97">
        <f t="shared" si="2"/>
        <v>1</v>
      </c>
      <c r="Q29" s="97">
        <f t="shared" si="3"/>
        <v>1</v>
      </c>
      <c r="R29" s="97">
        <f t="shared" si="4"/>
        <v>-29</v>
      </c>
      <c r="S29" s="2">
        <v>22</v>
      </c>
      <c r="T29" s="131"/>
      <c r="U29" s="131"/>
      <c r="V29" s="118"/>
    </row>
    <row r="30" spans="1:22" ht="15">
      <c r="A30" s="125" t="s">
        <v>192</v>
      </c>
      <c r="B30" s="126">
        <v>43616</v>
      </c>
      <c r="C30" s="127" t="s">
        <v>562</v>
      </c>
      <c r="D30" s="128">
        <v>415.74</v>
      </c>
      <c r="F30" s="121"/>
      <c r="K30" s="129">
        <v>43622</v>
      </c>
      <c r="M30" s="124">
        <f t="shared" si="0"/>
        <v>43647</v>
      </c>
      <c r="N30" s="122">
        <v>43647</v>
      </c>
      <c r="O30" s="97">
        <f t="shared" si="1"/>
        <v>0</v>
      </c>
      <c r="P30" s="97">
        <f t="shared" si="2"/>
        <v>1</v>
      </c>
      <c r="Q30" s="97">
        <f t="shared" si="3"/>
        <v>1</v>
      </c>
      <c r="R30" s="97">
        <f t="shared" si="4"/>
        <v>-29</v>
      </c>
      <c r="S30" s="2">
        <v>22</v>
      </c>
      <c r="T30" s="131"/>
      <c r="U30" s="131"/>
      <c r="V30" s="118"/>
    </row>
    <row r="31" spans="1:22" ht="15">
      <c r="A31" s="125" t="s">
        <v>188</v>
      </c>
      <c r="B31" s="126">
        <v>43646</v>
      </c>
      <c r="C31" s="127" t="s">
        <v>384</v>
      </c>
      <c r="D31" s="128">
        <v>3240</v>
      </c>
      <c r="F31" s="121"/>
      <c r="K31" s="129">
        <v>43614</v>
      </c>
      <c r="M31" s="124">
        <f t="shared" si="0"/>
        <v>43647</v>
      </c>
      <c r="N31" s="122">
        <v>43647</v>
      </c>
      <c r="O31" s="97">
        <f t="shared" si="1"/>
        <v>0</v>
      </c>
      <c r="P31" s="97">
        <f t="shared" si="2"/>
        <v>1</v>
      </c>
      <c r="Q31" s="97">
        <f t="shared" si="3"/>
        <v>1</v>
      </c>
      <c r="R31" s="97">
        <f t="shared" si="4"/>
        <v>-29</v>
      </c>
      <c r="S31" s="2">
        <v>29</v>
      </c>
      <c r="T31" s="131"/>
      <c r="U31" s="131"/>
      <c r="V31" s="118"/>
    </row>
    <row r="32" spans="1:22" ht="15">
      <c r="A32" s="125" t="s">
        <v>177</v>
      </c>
      <c r="B32" s="126">
        <v>43612</v>
      </c>
      <c r="C32" s="127" t="s">
        <v>574</v>
      </c>
      <c r="D32" s="128">
        <v>1197.9</v>
      </c>
      <c r="K32" s="129">
        <v>43612</v>
      </c>
      <c r="M32" s="124">
        <f t="shared" si="0"/>
        <v>43647</v>
      </c>
      <c r="N32" s="124">
        <v>43647</v>
      </c>
      <c r="O32" s="97">
        <f t="shared" si="1"/>
        <v>0</v>
      </c>
      <c r="P32" s="97">
        <f t="shared" si="2"/>
        <v>1</v>
      </c>
      <c r="Q32" s="97">
        <f t="shared" si="3"/>
        <v>1</v>
      </c>
      <c r="R32" s="97">
        <f t="shared" si="4"/>
        <v>-29</v>
      </c>
      <c r="S32" s="2">
        <v>69</v>
      </c>
      <c r="T32" s="131"/>
      <c r="U32" s="131"/>
      <c r="V32" s="118"/>
    </row>
    <row r="33" spans="1:22" ht="15">
      <c r="A33" s="125" t="s">
        <v>159</v>
      </c>
      <c r="B33" s="126">
        <v>43598</v>
      </c>
      <c r="C33" s="127" t="s">
        <v>592</v>
      </c>
      <c r="D33" s="128">
        <v>580.8</v>
      </c>
      <c r="K33" s="129">
        <v>43598</v>
      </c>
      <c r="M33" s="124">
        <f t="shared" si="0"/>
        <v>43677</v>
      </c>
      <c r="N33" s="124">
        <v>43677</v>
      </c>
      <c r="O33" s="97">
        <f t="shared" si="1"/>
        <v>0</v>
      </c>
      <c r="P33" s="97">
        <f t="shared" si="2"/>
        <v>31</v>
      </c>
      <c r="Q33" s="97">
        <f t="shared" si="3"/>
        <v>31</v>
      </c>
      <c r="R33" s="97">
        <f t="shared" si="4"/>
        <v>1</v>
      </c>
      <c r="S33" s="2">
        <v>29</v>
      </c>
      <c r="T33" s="131"/>
      <c r="U33" s="131"/>
      <c r="V33" s="118"/>
    </row>
    <row r="34" spans="1:22" ht="15">
      <c r="A34" s="125" t="s">
        <v>130</v>
      </c>
      <c r="B34" s="126">
        <v>43616</v>
      </c>
      <c r="C34" s="127" t="s">
        <v>619</v>
      </c>
      <c r="D34" s="128">
        <v>573.93</v>
      </c>
      <c r="K34" s="129">
        <v>43635</v>
      </c>
      <c r="M34" s="124">
        <f t="shared" si="0"/>
        <v>43648</v>
      </c>
      <c r="N34" s="124">
        <v>43648</v>
      </c>
      <c r="O34" s="97">
        <f t="shared" si="1"/>
        <v>0</v>
      </c>
      <c r="P34" s="97">
        <f t="shared" si="2"/>
        <v>2</v>
      </c>
      <c r="Q34" s="97">
        <f t="shared" si="3"/>
        <v>2</v>
      </c>
      <c r="R34" s="97">
        <f t="shared" si="4"/>
        <v>-28</v>
      </c>
      <c r="S34" s="2">
        <v>29</v>
      </c>
      <c r="T34" s="131"/>
      <c r="U34" s="131"/>
      <c r="V34" s="118"/>
    </row>
    <row r="35" spans="1:22" ht="15">
      <c r="A35" s="125" t="s">
        <v>114</v>
      </c>
      <c r="B35" s="126">
        <v>43616</v>
      </c>
      <c r="C35" s="127" t="s">
        <v>635</v>
      </c>
      <c r="D35" s="128">
        <v>15.51</v>
      </c>
      <c r="K35" s="129">
        <v>43635</v>
      </c>
      <c r="M35" s="124">
        <f t="shared" si="0"/>
        <v>43647</v>
      </c>
      <c r="N35" s="124">
        <v>43647</v>
      </c>
      <c r="O35" s="97">
        <f t="shared" si="1"/>
        <v>0</v>
      </c>
      <c r="P35" s="97">
        <f t="shared" si="2"/>
        <v>1</v>
      </c>
      <c r="Q35" s="97">
        <f t="shared" si="3"/>
        <v>1</v>
      </c>
      <c r="R35" s="97">
        <f t="shared" si="4"/>
        <v>-29</v>
      </c>
      <c r="S35" s="2">
        <v>29</v>
      </c>
      <c r="T35" s="131"/>
      <c r="U35" s="131"/>
      <c r="V35" s="11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Orria4">
    <tabColor indexed="42"/>
  </sheetPr>
  <dimension ref="A1:U53"/>
  <sheetViews>
    <sheetView zoomScalePageLayoutView="0" workbookViewId="0" topLeftCell="A17">
      <selection activeCell="A3" sqref="A3:IV51"/>
    </sheetView>
  </sheetViews>
  <sheetFormatPr defaultColWidth="9.140625" defaultRowHeight="12.75"/>
  <cols>
    <col min="1" max="1" width="16.7109375" style="2" customWidth="1"/>
    <col min="2" max="2" width="10.7109375" style="15" bestFit="1" customWidth="1"/>
    <col min="3" max="3" width="18.28125" style="2" bestFit="1" customWidth="1"/>
    <col min="4" max="4" width="11.140625" style="8" customWidth="1"/>
    <col min="5" max="5" width="7.421875" style="2" bestFit="1" customWidth="1"/>
    <col min="6" max="7" width="9.140625" style="2" customWidth="1"/>
    <col min="8" max="8" width="7.421875" style="2" customWidth="1"/>
    <col min="9" max="9" width="7.00390625" style="2" customWidth="1"/>
    <col min="10" max="10" width="17.00390625" style="2" bestFit="1" customWidth="1"/>
    <col min="11" max="11" width="11.140625" style="15" customWidth="1"/>
    <col min="12" max="12" width="9.140625" style="15" customWidth="1"/>
    <col min="13" max="14" width="10.7109375" style="15" bestFit="1" customWidth="1"/>
    <col min="15" max="15" width="9.140625" style="10" customWidth="1"/>
    <col min="16" max="16" width="9.8515625" style="10" bestFit="1" customWidth="1"/>
    <col min="17" max="17" width="9.8515625" style="2" bestFit="1" customWidth="1"/>
    <col min="18" max="19" width="15.57421875" style="8" bestFit="1" customWidth="1"/>
    <col min="20" max="16384" width="9.140625" style="2" customWidth="1"/>
  </cols>
  <sheetData>
    <row r="1" spans="1:18" ht="11.25">
      <c r="A1" s="3" t="s">
        <v>81</v>
      </c>
      <c r="B1" s="17"/>
      <c r="C1" s="4"/>
      <c r="D1" s="7"/>
      <c r="E1" s="4"/>
      <c r="F1" s="4"/>
      <c r="G1" s="4"/>
      <c r="H1" s="2" t="s">
        <v>107</v>
      </c>
      <c r="K1" s="2"/>
      <c r="O1" s="97" t="s">
        <v>102</v>
      </c>
      <c r="P1" s="120">
        <v>43646</v>
      </c>
      <c r="R1" s="2"/>
    </row>
    <row r="3" spans="1:21" ht="15">
      <c r="A3" s="125" t="s">
        <v>376</v>
      </c>
      <c r="B3" s="126">
        <v>43646</v>
      </c>
      <c r="C3" s="127" t="s">
        <v>379</v>
      </c>
      <c r="D3" s="128">
        <v>3604.81</v>
      </c>
      <c r="F3" s="121"/>
      <c r="K3" s="129">
        <v>43656</v>
      </c>
      <c r="M3" s="124">
        <f aca="true" t="shared" si="0" ref="M3:M41">+N3</f>
        <v>43656</v>
      </c>
      <c r="N3" s="130">
        <v>43656</v>
      </c>
      <c r="O3" s="97">
        <f aca="true" t="shared" si="1" ref="O3:O41">+K3-M3</f>
        <v>0</v>
      </c>
      <c r="P3" s="97">
        <f aca="true" t="shared" si="2" ref="P3:P41">+N3-M3</f>
        <v>0</v>
      </c>
      <c r="Q3" s="97">
        <f aca="true" t="shared" si="3" ref="Q3:Q41">+N3-K3</f>
        <v>0</v>
      </c>
      <c r="R3" s="97">
        <f aca="true" t="shared" si="4" ref="R3:R41">+Q3-30</f>
        <v>-30</v>
      </c>
      <c r="S3" s="2">
        <v>29</v>
      </c>
      <c r="T3" s="131">
        <f aca="true" t="shared" si="5" ref="T3:T41">+P3*D3</f>
        <v>0</v>
      </c>
      <c r="U3" s="131"/>
    </row>
    <row r="4" spans="1:21" ht="15">
      <c r="A4" s="125" t="s">
        <v>334</v>
      </c>
      <c r="B4" s="126">
        <v>43646</v>
      </c>
      <c r="C4" s="127" t="s">
        <v>420</v>
      </c>
      <c r="D4" s="128">
        <v>144.24</v>
      </c>
      <c r="F4" s="121"/>
      <c r="K4" s="129">
        <v>43664</v>
      </c>
      <c r="M4" s="124">
        <f t="shared" si="0"/>
        <v>43677</v>
      </c>
      <c r="N4" s="124">
        <v>43677</v>
      </c>
      <c r="O4" s="97">
        <f t="shared" si="1"/>
        <v>-13</v>
      </c>
      <c r="P4" s="97">
        <f t="shared" si="2"/>
        <v>0</v>
      </c>
      <c r="Q4" s="97">
        <f t="shared" si="3"/>
        <v>13</v>
      </c>
      <c r="R4" s="97">
        <f t="shared" si="4"/>
        <v>-17</v>
      </c>
      <c r="S4" s="2">
        <v>29</v>
      </c>
      <c r="T4" s="131">
        <f t="shared" si="5"/>
        <v>0</v>
      </c>
      <c r="U4" s="131"/>
    </row>
    <row r="5" spans="1:21" ht="15">
      <c r="A5" s="125" t="s">
        <v>331</v>
      </c>
      <c r="B5" s="126">
        <v>43634</v>
      </c>
      <c r="C5" s="127" t="s">
        <v>423</v>
      </c>
      <c r="D5" s="128">
        <v>116.89</v>
      </c>
      <c r="F5" s="121"/>
      <c r="K5" s="129">
        <v>43656</v>
      </c>
      <c r="M5" s="124">
        <f t="shared" si="0"/>
        <v>43661</v>
      </c>
      <c r="N5" s="124">
        <v>43661</v>
      </c>
      <c r="O5" s="97">
        <f t="shared" si="1"/>
        <v>-5</v>
      </c>
      <c r="P5" s="97">
        <f t="shared" si="2"/>
        <v>0</v>
      </c>
      <c r="Q5" s="97">
        <f t="shared" si="3"/>
        <v>5</v>
      </c>
      <c r="R5" s="97">
        <f t="shared" si="4"/>
        <v>-25</v>
      </c>
      <c r="S5" s="2">
        <v>21</v>
      </c>
      <c r="T5" s="131">
        <f t="shared" si="5"/>
        <v>0</v>
      </c>
      <c r="U5" s="131"/>
    </row>
    <row r="6" spans="1:21" ht="15">
      <c r="A6" s="125" t="s">
        <v>324</v>
      </c>
      <c r="B6" s="126">
        <v>43616</v>
      </c>
      <c r="C6" s="127" t="s">
        <v>430</v>
      </c>
      <c r="D6" s="128">
        <v>363</v>
      </c>
      <c r="F6" s="121"/>
      <c r="K6" s="129">
        <v>43649</v>
      </c>
      <c r="M6" s="124">
        <f t="shared" si="0"/>
        <v>43661</v>
      </c>
      <c r="N6" s="124">
        <v>43661</v>
      </c>
      <c r="O6" s="97">
        <f t="shared" si="1"/>
        <v>-12</v>
      </c>
      <c r="P6" s="97">
        <f t="shared" si="2"/>
        <v>0</v>
      </c>
      <c r="Q6" s="97">
        <f t="shared" si="3"/>
        <v>12</v>
      </c>
      <c r="R6" s="97">
        <f t="shared" si="4"/>
        <v>-18</v>
      </c>
      <c r="S6" s="2">
        <v>29</v>
      </c>
      <c r="T6" s="131">
        <f t="shared" si="5"/>
        <v>0</v>
      </c>
      <c r="U6" s="131"/>
    </row>
    <row r="7" spans="1:21" ht="15">
      <c r="A7" s="125" t="s">
        <v>316</v>
      </c>
      <c r="B7" s="126">
        <v>43646</v>
      </c>
      <c r="C7" s="127" t="s">
        <v>438</v>
      </c>
      <c r="D7" s="128">
        <v>2142.16</v>
      </c>
      <c r="F7" s="121"/>
      <c r="K7" s="129">
        <v>43656</v>
      </c>
      <c r="M7" s="124">
        <f t="shared" si="0"/>
        <v>43661</v>
      </c>
      <c r="N7" s="124">
        <v>43661</v>
      </c>
      <c r="O7" s="97">
        <f t="shared" si="1"/>
        <v>-5</v>
      </c>
      <c r="P7" s="97">
        <f t="shared" si="2"/>
        <v>0</v>
      </c>
      <c r="Q7" s="97">
        <f t="shared" si="3"/>
        <v>5</v>
      </c>
      <c r="R7" s="97">
        <f t="shared" si="4"/>
        <v>-25</v>
      </c>
      <c r="S7" s="2">
        <v>29</v>
      </c>
      <c r="T7" s="131">
        <f t="shared" si="5"/>
        <v>0</v>
      </c>
      <c r="U7" s="131"/>
    </row>
    <row r="8" spans="1:21" ht="15">
      <c r="A8" s="125" t="s">
        <v>315</v>
      </c>
      <c r="B8" s="126">
        <v>43646</v>
      </c>
      <c r="C8" s="127" t="s">
        <v>439</v>
      </c>
      <c r="D8" s="128">
        <v>3630</v>
      </c>
      <c r="F8" s="121"/>
      <c r="K8" s="129">
        <v>43656</v>
      </c>
      <c r="M8" s="124">
        <f t="shared" si="0"/>
        <v>43661</v>
      </c>
      <c r="N8" s="124">
        <v>43661</v>
      </c>
      <c r="O8" s="97">
        <f t="shared" si="1"/>
        <v>-5</v>
      </c>
      <c r="P8" s="97">
        <f t="shared" si="2"/>
        <v>0</v>
      </c>
      <c r="Q8" s="97">
        <f t="shared" si="3"/>
        <v>5</v>
      </c>
      <c r="R8" s="97">
        <f t="shared" si="4"/>
        <v>-25</v>
      </c>
      <c r="S8" s="2">
        <v>29</v>
      </c>
      <c r="T8" s="131">
        <f t="shared" si="5"/>
        <v>0</v>
      </c>
      <c r="U8" s="131"/>
    </row>
    <row r="9" spans="1:21" ht="15">
      <c r="A9" s="125" t="s">
        <v>305</v>
      </c>
      <c r="B9" s="126">
        <v>43619</v>
      </c>
      <c r="C9" s="127" t="s">
        <v>449</v>
      </c>
      <c r="D9" s="128">
        <v>474.44</v>
      </c>
      <c r="F9" s="121"/>
      <c r="K9" s="129">
        <v>43662</v>
      </c>
      <c r="M9" s="124">
        <f t="shared" si="0"/>
        <v>43678</v>
      </c>
      <c r="N9" s="124">
        <v>43678</v>
      </c>
      <c r="O9" s="97">
        <f t="shared" si="1"/>
        <v>-16</v>
      </c>
      <c r="P9" s="97">
        <f t="shared" si="2"/>
        <v>0</v>
      </c>
      <c r="Q9" s="97">
        <f t="shared" si="3"/>
        <v>16</v>
      </c>
      <c r="R9" s="97">
        <f t="shared" si="4"/>
        <v>-14</v>
      </c>
      <c r="S9" s="2">
        <v>21</v>
      </c>
      <c r="T9" s="131">
        <f t="shared" si="5"/>
        <v>0</v>
      </c>
      <c r="U9" s="131"/>
    </row>
    <row r="10" spans="1:21" ht="15">
      <c r="A10" s="125" t="s">
        <v>299</v>
      </c>
      <c r="B10" s="126">
        <v>43646</v>
      </c>
      <c r="C10" s="127" t="s">
        <v>455</v>
      </c>
      <c r="D10" s="128">
        <v>170.28</v>
      </c>
      <c r="F10" s="121"/>
      <c r="K10" s="129">
        <v>43658</v>
      </c>
      <c r="M10" s="124">
        <f t="shared" si="0"/>
        <v>43661</v>
      </c>
      <c r="N10" s="122">
        <v>43661</v>
      </c>
      <c r="O10" s="97">
        <f t="shared" si="1"/>
        <v>-3</v>
      </c>
      <c r="P10" s="97">
        <f t="shared" si="2"/>
        <v>0</v>
      </c>
      <c r="Q10" s="97">
        <f t="shared" si="3"/>
        <v>3</v>
      </c>
      <c r="R10" s="97">
        <f t="shared" si="4"/>
        <v>-27</v>
      </c>
      <c r="S10" s="2">
        <v>22</v>
      </c>
      <c r="T10" s="131">
        <f t="shared" si="5"/>
        <v>0</v>
      </c>
      <c r="U10" s="131"/>
    </row>
    <row r="11" spans="1:21" ht="15">
      <c r="A11" s="125" t="s">
        <v>297</v>
      </c>
      <c r="B11" s="126">
        <v>43644</v>
      </c>
      <c r="C11" s="127" t="s">
        <v>457</v>
      </c>
      <c r="D11" s="128">
        <v>375</v>
      </c>
      <c r="F11" s="121"/>
      <c r="K11" s="129">
        <v>43651</v>
      </c>
      <c r="M11" s="124">
        <f t="shared" si="0"/>
        <v>43648</v>
      </c>
      <c r="N11" s="122">
        <v>43648</v>
      </c>
      <c r="O11" s="97">
        <f t="shared" si="1"/>
        <v>3</v>
      </c>
      <c r="P11" s="97">
        <f t="shared" si="2"/>
        <v>0</v>
      </c>
      <c r="Q11" s="97">
        <f t="shared" si="3"/>
        <v>-3</v>
      </c>
      <c r="R11" s="97">
        <f t="shared" si="4"/>
        <v>-33</v>
      </c>
      <c r="S11" s="2">
        <v>29</v>
      </c>
      <c r="T11" s="131">
        <f t="shared" si="5"/>
        <v>0</v>
      </c>
      <c r="U11" s="131"/>
    </row>
    <row r="12" spans="1:21" ht="15">
      <c r="A12" s="125" t="s">
        <v>295</v>
      </c>
      <c r="B12" s="126">
        <v>43638</v>
      </c>
      <c r="C12" s="127" t="s">
        <v>459</v>
      </c>
      <c r="D12" s="128">
        <v>63.53</v>
      </c>
      <c r="F12" s="121"/>
      <c r="K12" s="129">
        <v>43654</v>
      </c>
      <c r="M12" s="124">
        <f t="shared" si="0"/>
        <v>43661</v>
      </c>
      <c r="N12" s="122">
        <v>43661</v>
      </c>
      <c r="O12" s="97">
        <f t="shared" si="1"/>
        <v>-7</v>
      </c>
      <c r="P12" s="97">
        <f t="shared" si="2"/>
        <v>0</v>
      </c>
      <c r="Q12" s="97">
        <f t="shared" si="3"/>
        <v>7</v>
      </c>
      <c r="R12" s="97">
        <f t="shared" si="4"/>
        <v>-23</v>
      </c>
      <c r="S12" s="2">
        <v>21</v>
      </c>
      <c r="T12" s="131">
        <f t="shared" si="5"/>
        <v>0</v>
      </c>
      <c r="U12" s="131"/>
    </row>
    <row r="13" spans="1:21" ht="15">
      <c r="A13" s="125" t="s">
        <v>290</v>
      </c>
      <c r="B13" s="126">
        <v>43636</v>
      </c>
      <c r="C13" s="127" t="s">
        <v>464</v>
      </c>
      <c r="D13" s="128">
        <v>158.13</v>
      </c>
      <c r="F13" s="121"/>
      <c r="K13" s="129">
        <v>43649</v>
      </c>
      <c r="M13" s="124">
        <f t="shared" si="0"/>
        <v>43661</v>
      </c>
      <c r="N13" s="122">
        <v>43661</v>
      </c>
      <c r="O13" s="97">
        <f t="shared" si="1"/>
        <v>-12</v>
      </c>
      <c r="P13" s="97">
        <f t="shared" si="2"/>
        <v>0</v>
      </c>
      <c r="Q13" s="97">
        <f t="shared" si="3"/>
        <v>12</v>
      </c>
      <c r="R13" s="97">
        <f t="shared" si="4"/>
        <v>-18</v>
      </c>
      <c r="S13" s="2">
        <v>21</v>
      </c>
      <c r="T13" s="131">
        <f t="shared" si="5"/>
        <v>0</v>
      </c>
      <c r="U13" s="131"/>
    </row>
    <row r="14" spans="1:21" ht="15">
      <c r="A14" s="125" t="s">
        <v>279</v>
      </c>
      <c r="B14" s="126">
        <v>43646</v>
      </c>
      <c r="C14" s="127" t="s">
        <v>475</v>
      </c>
      <c r="D14" s="128">
        <v>2750</v>
      </c>
      <c r="F14" s="121"/>
      <c r="K14" s="129">
        <v>43654</v>
      </c>
      <c r="M14" s="124">
        <f t="shared" si="0"/>
        <v>43661</v>
      </c>
      <c r="N14" s="122">
        <v>43661</v>
      </c>
      <c r="O14" s="97">
        <f t="shared" si="1"/>
        <v>-7</v>
      </c>
      <c r="P14" s="97">
        <f t="shared" si="2"/>
        <v>0</v>
      </c>
      <c r="Q14" s="97">
        <f t="shared" si="3"/>
        <v>7</v>
      </c>
      <c r="R14" s="97">
        <f t="shared" si="4"/>
        <v>-23</v>
      </c>
      <c r="S14" s="2">
        <v>29</v>
      </c>
      <c r="T14" s="131">
        <f t="shared" si="5"/>
        <v>0</v>
      </c>
      <c r="U14" s="131"/>
    </row>
    <row r="15" spans="1:21" ht="15">
      <c r="A15" s="125" t="s">
        <v>278</v>
      </c>
      <c r="B15" s="126">
        <v>43646</v>
      </c>
      <c r="C15" s="127" t="s">
        <v>476</v>
      </c>
      <c r="D15" s="128">
        <v>1310.84</v>
      </c>
      <c r="F15" s="121"/>
      <c r="K15" s="129">
        <v>43654</v>
      </c>
      <c r="M15" s="124">
        <f t="shared" si="0"/>
        <v>43661</v>
      </c>
      <c r="N15" s="122">
        <v>43661</v>
      </c>
      <c r="O15" s="97">
        <f t="shared" si="1"/>
        <v>-7</v>
      </c>
      <c r="P15" s="97">
        <f t="shared" si="2"/>
        <v>0</v>
      </c>
      <c r="Q15" s="97">
        <f t="shared" si="3"/>
        <v>7</v>
      </c>
      <c r="R15" s="97">
        <f t="shared" si="4"/>
        <v>-23</v>
      </c>
      <c r="S15" s="2">
        <v>29</v>
      </c>
      <c r="T15" s="131">
        <f t="shared" si="5"/>
        <v>0</v>
      </c>
      <c r="U15" s="131"/>
    </row>
    <row r="16" spans="1:21" ht="15">
      <c r="A16" s="125" t="s">
        <v>239</v>
      </c>
      <c r="B16" s="126">
        <v>43634</v>
      </c>
      <c r="C16" s="127" t="s">
        <v>515</v>
      </c>
      <c r="D16" s="128">
        <v>5408.7</v>
      </c>
      <c r="F16" s="121"/>
      <c r="K16" s="129">
        <v>43648</v>
      </c>
      <c r="M16" s="124">
        <f t="shared" si="0"/>
        <v>43661</v>
      </c>
      <c r="N16" s="122">
        <v>43661</v>
      </c>
      <c r="O16" s="97">
        <f t="shared" si="1"/>
        <v>-13</v>
      </c>
      <c r="P16" s="97">
        <f t="shared" si="2"/>
        <v>0</v>
      </c>
      <c r="Q16" s="97">
        <f t="shared" si="3"/>
        <v>13</v>
      </c>
      <c r="R16" s="97">
        <f t="shared" si="4"/>
        <v>-17</v>
      </c>
      <c r="S16" s="2">
        <v>29</v>
      </c>
      <c r="T16" s="131">
        <f t="shared" si="5"/>
        <v>0</v>
      </c>
      <c r="U16" s="131"/>
    </row>
    <row r="17" spans="1:21" ht="15">
      <c r="A17" s="125" t="s">
        <v>232</v>
      </c>
      <c r="B17" s="126">
        <v>43564</v>
      </c>
      <c r="C17" s="127" t="s">
        <v>522</v>
      </c>
      <c r="D17" s="128">
        <v>2430</v>
      </c>
      <c r="F17" s="121"/>
      <c r="K17" s="129">
        <v>43647</v>
      </c>
      <c r="M17" s="124">
        <f t="shared" si="0"/>
        <v>43677</v>
      </c>
      <c r="N17" s="122">
        <v>43677</v>
      </c>
      <c r="O17" s="97">
        <f t="shared" si="1"/>
        <v>-30</v>
      </c>
      <c r="P17" s="97">
        <f t="shared" si="2"/>
        <v>0</v>
      </c>
      <c r="Q17" s="97">
        <f t="shared" si="3"/>
        <v>30</v>
      </c>
      <c r="R17" s="97">
        <f t="shared" si="4"/>
        <v>0</v>
      </c>
      <c r="S17" s="2">
        <v>29</v>
      </c>
      <c r="T17" s="131">
        <f t="shared" si="5"/>
        <v>0</v>
      </c>
      <c r="U17" s="131"/>
    </row>
    <row r="18" spans="1:21" ht="15">
      <c r="A18" s="125" t="s">
        <v>227</v>
      </c>
      <c r="B18" s="126">
        <v>43644</v>
      </c>
      <c r="C18" s="127" t="s">
        <v>527</v>
      </c>
      <c r="D18" s="128">
        <v>101.2</v>
      </c>
      <c r="F18" s="121"/>
      <c r="K18" s="129">
        <v>43658</v>
      </c>
      <c r="M18" s="124">
        <f t="shared" si="0"/>
        <v>43648</v>
      </c>
      <c r="N18" s="122">
        <v>43648</v>
      </c>
      <c r="O18" s="97">
        <f t="shared" si="1"/>
        <v>10</v>
      </c>
      <c r="P18" s="97">
        <f t="shared" si="2"/>
        <v>0</v>
      </c>
      <c r="Q18" s="97">
        <f t="shared" si="3"/>
        <v>-10</v>
      </c>
      <c r="R18" s="97">
        <f t="shared" si="4"/>
        <v>-40</v>
      </c>
      <c r="S18" s="2">
        <v>29</v>
      </c>
      <c r="T18" s="131">
        <f t="shared" si="5"/>
        <v>0</v>
      </c>
      <c r="U18" s="131"/>
    </row>
    <row r="19" spans="1:21" ht="15">
      <c r="A19" s="125" t="s">
        <v>226</v>
      </c>
      <c r="B19" s="126">
        <v>43646</v>
      </c>
      <c r="C19" s="127" t="s">
        <v>528</v>
      </c>
      <c r="D19" s="128">
        <v>202.4</v>
      </c>
      <c r="F19" s="121"/>
      <c r="K19" s="129">
        <v>43658</v>
      </c>
      <c r="M19" s="124">
        <f t="shared" si="0"/>
        <v>43676</v>
      </c>
      <c r="N19" s="122">
        <v>43676</v>
      </c>
      <c r="O19" s="97">
        <f t="shared" si="1"/>
        <v>-18</v>
      </c>
      <c r="P19" s="97">
        <f t="shared" si="2"/>
        <v>0</v>
      </c>
      <c r="Q19" s="97">
        <f t="shared" si="3"/>
        <v>18</v>
      </c>
      <c r="R19" s="97">
        <f t="shared" si="4"/>
        <v>-12</v>
      </c>
      <c r="S19" s="2">
        <v>29</v>
      </c>
      <c r="T19" s="131">
        <f t="shared" si="5"/>
        <v>0</v>
      </c>
      <c r="U19" s="131"/>
    </row>
    <row r="20" spans="1:21" ht="15">
      <c r="A20" s="125" t="s">
        <v>219</v>
      </c>
      <c r="B20" s="126">
        <v>43633</v>
      </c>
      <c r="C20" s="127" t="s">
        <v>535</v>
      </c>
      <c r="D20" s="128">
        <v>77.91</v>
      </c>
      <c r="F20" s="121"/>
      <c r="K20" s="129">
        <v>43662</v>
      </c>
      <c r="M20" s="124">
        <f t="shared" si="0"/>
        <v>43676</v>
      </c>
      <c r="N20" s="122">
        <v>43676</v>
      </c>
      <c r="O20" s="97">
        <f t="shared" si="1"/>
        <v>-14</v>
      </c>
      <c r="P20" s="97">
        <f t="shared" si="2"/>
        <v>0</v>
      </c>
      <c r="Q20" s="97">
        <f t="shared" si="3"/>
        <v>14</v>
      </c>
      <c r="R20" s="97">
        <f t="shared" si="4"/>
        <v>-16</v>
      </c>
      <c r="S20" s="2">
        <v>21</v>
      </c>
      <c r="T20" s="131">
        <f t="shared" si="5"/>
        <v>0</v>
      </c>
      <c r="U20" s="131"/>
    </row>
    <row r="21" spans="1:21" ht="15">
      <c r="A21" s="125" t="s">
        <v>215</v>
      </c>
      <c r="B21" s="126">
        <v>43646</v>
      </c>
      <c r="C21" s="127" t="s">
        <v>539</v>
      </c>
      <c r="D21" s="128">
        <v>6693.5</v>
      </c>
      <c r="F21" s="121"/>
      <c r="K21" s="129">
        <v>43651</v>
      </c>
      <c r="M21" s="124">
        <f t="shared" si="0"/>
        <v>43661</v>
      </c>
      <c r="N21" s="122">
        <v>43661</v>
      </c>
      <c r="O21" s="97">
        <f t="shared" si="1"/>
        <v>-10</v>
      </c>
      <c r="P21" s="97">
        <f t="shared" si="2"/>
        <v>0</v>
      </c>
      <c r="Q21" s="97">
        <f t="shared" si="3"/>
        <v>10</v>
      </c>
      <c r="R21" s="97">
        <f t="shared" si="4"/>
        <v>-20</v>
      </c>
      <c r="S21" s="2">
        <v>29</v>
      </c>
      <c r="T21" s="131">
        <f t="shared" si="5"/>
        <v>0</v>
      </c>
      <c r="U21" s="131"/>
    </row>
    <row r="22" spans="1:21" ht="15">
      <c r="A22" s="125" t="s">
        <v>200</v>
      </c>
      <c r="B22" s="126">
        <v>43646</v>
      </c>
      <c r="C22" s="127" t="s">
        <v>554</v>
      </c>
      <c r="D22" s="128">
        <v>346.06</v>
      </c>
      <c r="F22" s="121"/>
      <c r="K22" s="129">
        <v>43655</v>
      </c>
      <c r="M22" s="124">
        <f t="shared" si="0"/>
        <v>43647</v>
      </c>
      <c r="N22" s="122">
        <v>43647</v>
      </c>
      <c r="O22" s="97">
        <f t="shared" si="1"/>
        <v>8</v>
      </c>
      <c r="P22" s="97">
        <f t="shared" si="2"/>
        <v>0</v>
      </c>
      <c r="Q22" s="97">
        <f t="shared" si="3"/>
        <v>-8</v>
      </c>
      <c r="R22" s="97">
        <f t="shared" si="4"/>
        <v>-38</v>
      </c>
      <c r="S22" s="2">
        <v>29</v>
      </c>
      <c r="T22" s="131">
        <f t="shared" si="5"/>
        <v>0</v>
      </c>
      <c r="U22" s="131"/>
    </row>
    <row r="23" spans="1:21" ht="15">
      <c r="A23" s="125" t="s">
        <v>191</v>
      </c>
      <c r="B23" s="126">
        <v>43646</v>
      </c>
      <c r="C23" s="127" t="s">
        <v>563</v>
      </c>
      <c r="D23" s="128">
        <v>154.7</v>
      </c>
      <c r="F23" s="121"/>
      <c r="K23" s="129">
        <v>43658</v>
      </c>
      <c r="M23" s="124">
        <f t="shared" si="0"/>
        <v>43677</v>
      </c>
      <c r="N23" s="122">
        <v>43677</v>
      </c>
      <c r="O23" s="97">
        <f t="shared" si="1"/>
        <v>-19</v>
      </c>
      <c r="P23" s="97">
        <f t="shared" si="2"/>
        <v>0</v>
      </c>
      <c r="Q23" s="97">
        <f t="shared" si="3"/>
        <v>19</v>
      </c>
      <c r="R23" s="97">
        <f t="shared" si="4"/>
        <v>-11</v>
      </c>
      <c r="S23" s="2">
        <v>22</v>
      </c>
      <c r="T23" s="131">
        <f t="shared" si="5"/>
        <v>0</v>
      </c>
      <c r="U23" s="131"/>
    </row>
    <row r="24" spans="1:21" ht="15">
      <c r="A24" s="125" t="s">
        <v>178</v>
      </c>
      <c r="B24" s="126">
        <v>43640</v>
      </c>
      <c r="C24" s="127" t="s">
        <v>573</v>
      </c>
      <c r="D24" s="128">
        <v>521.03</v>
      </c>
      <c r="K24" s="129">
        <v>43658</v>
      </c>
      <c r="M24" s="124">
        <f t="shared" si="0"/>
        <v>43670</v>
      </c>
      <c r="N24" s="124">
        <v>43670</v>
      </c>
      <c r="O24" s="97">
        <f t="shared" si="1"/>
        <v>-12</v>
      </c>
      <c r="P24" s="97">
        <f t="shared" si="2"/>
        <v>0</v>
      </c>
      <c r="Q24" s="97">
        <f t="shared" si="3"/>
        <v>12</v>
      </c>
      <c r="R24" s="97">
        <f t="shared" si="4"/>
        <v>-18</v>
      </c>
      <c r="S24" s="2">
        <v>21</v>
      </c>
      <c r="T24" s="131">
        <f t="shared" si="5"/>
        <v>0</v>
      </c>
      <c r="U24" s="131"/>
    </row>
    <row r="25" spans="1:21" ht="15">
      <c r="A25" s="125" t="s">
        <v>175</v>
      </c>
      <c r="B25" s="126">
        <v>43646</v>
      </c>
      <c r="C25" s="127" t="s">
        <v>576</v>
      </c>
      <c r="D25" s="128">
        <v>254.92</v>
      </c>
      <c r="K25" s="129">
        <v>43651</v>
      </c>
      <c r="M25" s="124">
        <f t="shared" si="0"/>
        <v>43661</v>
      </c>
      <c r="N25" s="124">
        <v>43661</v>
      </c>
      <c r="O25" s="97">
        <f t="shared" si="1"/>
        <v>-10</v>
      </c>
      <c r="P25" s="97">
        <f t="shared" si="2"/>
        <v>0</v>
      </c>
      <c r="Q25" s="97">
        <f t="shared" si="3"/>
        <v>10</v>
      </c>
      <c r="R25" s="97">
        <f t="shared" si="4"/>
        <v>-20</v>
      </c>
      <c r="S25" s="2">
        <v>20</v>
      </c>
      <c r="T25" s="131">
        <f t="shared" si="5"/>
        <v>0</v>
      </c>
      <c r="U25" s="131"/>
    </row>
    <row r="26" spans="1:21" ht="15">
      <c r="A26" s="125" t="s">
        <v>173</v>
      </c>
      <c r="B26" s="126">
        <v>43646</v>
      </c>
      <c r="C26" s="127" t="s">
        <v>578</v>
      </c>
      <c r="D26" s="128">
        <v>89.14</v>
      </c>
      <c r="K26" s="129">
        <v>43656</v>
      </c>
      <c r="M26" s="124">
        <f t="shared" si="0"/>
        <v>43651</v>
      </c>
      <c r="N26" s="124">
        <v>43651</v>
      </c>
      <c r="O26" s="97">
        <f t="shared" si="1"/>
        <v>5</v>
      </c>
      <c r="P26" s="97">
        <f t="shared" si="2"/>
        <v>0</v>
      </c>
      <c r="Q26" s="97">
        <f t="shared" si="3"/>
        <v>-5</v>
      </c>
      <c r="R26" s="97">
        <f t="shared" si="4"/>
        <v>-35</v>
      </c>
      <c r="S26" s="2">
        <v>29</v>
      </c>
      <c r="T26" s="131">
        <f t="shared" si="5"/>
        <v>0</v>
      </c>
      <c r="U26" s="131"/>
    </row>
    <row r="27" spans="1:21" ht="15">
      <c r="A27" s="125" t="s">
        <v>157</v>
      </c>
      <c r="B27" s="126">
        <v>43633</v>
      </c>
      <c r="C27" s="127" t="s">
        <v>594</v>
      </c>
      <c r="D27" s="128">
        <v>10853.7</v>
      </c>
      <c r="K27" s="129">
        <v>43648</v>
      </c>
      <c r="M27" s="124">
        <f t="shared" si="0"/>
        <v>43661</v>
      </c>
      <c r="N27" s="124">
        <v>43661</v>
      </c>
      <c r="O27" s="97">
        <f t="shared" si="1"/>
        <v>-13</v>
      </c>
      <c r="P27" s="97">
        <f t="shared" si="2"/>
        <v>0</v>
      </c>
      <c r="Q27" s="97">
        <f t="shared" si="3"/>
        <v>13</v>
      </c>
      <c r="R27" s="97">
        <f t="shared" si="4"/>
        <v>-17</v>
      </c>
      <c r="S27" s="2">
        <v>29</v>
      </c>
      <c r="T27" s="131">
        <f t="shared" si="5"/>
        <v>0</v>
      </c>
      <c r="U27" s="131"/>
    </row>
    <row r="28" spans="1:21" ht="15">
      <c r="A28" s="125" t="s">
        <v>156</v>
      </c>
      <c r="B28" s="126">
        <v>43633</v>
      </c>
      <c r="C28" s="127" t="s">
        <v>595</v>
      </c>
      <c r="D28" s="128">
        <v>1808.96</v>
      </c>
      <c r="K28" s="129">
        <v>43648</v>
      </c>
      <c r="M28" s="124">
        <f t="shared" si="0"/>
        <v>43661</v>
      </c>
      <c r="N28" s="124">
        <v>43661</v>
      </c>
      <c r="O28" s="97">
        <f t="shared" si="1"/>
        <v>-13</v>
      </c>
      <c r="P28" s="97">
        <f t="shared" si="2"/>
        <v>0</v>
      </c>
      <c r="Q28" s="97">
        <f t="shared" si="3"/>
        <v>13</v>
      </c>
      <c r="R28" s="97">
        <f t="shared" si="4"/>
        <v>-17</v>
      </c>
      <c r="S28" s="2">
        <v>29</v>
      </c>
      <c r="T28" s="131">
        <f t="shared" si="5"/>
        <v>0</v>
      </c>
      <c r="U28" s="131"/>
    </row>
    <row r="29" spans="1:21" ht="15">
      <c r="A29" s="125" t="s">
        <v>152</v>
      </c>
      <c r="B29" s="126">
        <v>43633</v>
      </c>
      <c r="C29" s="127" t="s">
        <v>599</v>
      </c>
      <c r="D29" s="128">
        <v>346.06</v>
      </c>
      <c r="K29" s="129">
        <v>43655</v>
      </c>
      <c r="M29" s="124">
        <f t="shared" si="0"/>
        <v>43661</v>
      </c>
      <c r="N29" s="124">
        <v>43661</v>
      </c>
      <c r="O29" s="97">
        <f t="shared" si="1"/>
        <v>-6</v>
      </c>
      <c r="P29" s="97">
        <f t="shared" si="2"/>
        <v>0</v>
      </c>
      <c r="Q29" s="97">
        <f t="shared" si="3"/>
        <v>6</v>
      </c>
      <c r="R29" s="97">
        <f t="shared" si="4"/>
        <v>-24</v>
      </c>
      <c r="S29" s="2">
        <v>21</v>
      </c>
      <c r="T29" s="131">
        <f t="shared" si="5"/>
        <v>0</v>
      </c>
      <c r="U29" s="131"/>
    </row>
    <row r="30" spans="1:21" ht="15">
      <c r="A30" s="125" t="s">
        <v>148</v>
      </c>
      <c r="B30" s="126">
        <v>43646</v>
      </c>
      <c r="C30" s="127" t="s">
        <v>603</v>
      </c>
      <c r="D30" s="128">
        <v>464.86</v>
      </c>
      <c r="K30" s="129">
        <v>43651</v>
      </c>
      <c r="M30" s="124">
        <f t="shared" si="0"/>
        <v>43661</v>
      </c>
      <c r="N30" s="124">
        <v>43661</v>
      </c>
      <c r="O30" s="97">
        <f t="shared" si="1"/>
        <v>-10</v>
      </c>
      <c r="P30" s="97">
        <f t="shared" si="2"/>
        <v>0</v>
      </c>
      <c r="Q30" s="97">
        <f t="shared" si="3"/>
        <v>10</v>
      </c>
      <c r="R30" s="97">
        <f t="shared" si="4"/>
        <v>-20</v>
      </c>
      <c r="S30" s="2">
        <v>29</v>
      </c>
      <c r="T30" s="131">
        <f t="shared" si="5"/>
        <v>0</v>
      </c>
      <c r="U30" s="131"/>
    </row>
    <row r="31" spans="1:21" ht="15">
      <c r="A31" s="125" t="s">
        <v>137</v>
      </c>
      <c r="B31" s="126">
        <v>43642</v>
      </c>
      <c r="C31" s="127" t="s">
        <v>612</v>
      </c>
      <c r="D31" s="128">
        <v>367.89</v>
      </c>
      <c r="K31" s="129">
        <v>43656</v>
      </c>
      <c r="M31" s="124">
        <f t="shared" si="0"/>
        <v>43647</v>
      </c>
      <c r="N31" s="124">
        <v>43647</v>
      </c>
      <c r="O31" s="97">
        <f t="shared" si="1"/>
        <v>9</v>
      </c>
      <c r="P31" s="97">
        <f t="shared" si="2"/>
        <v>0</v>
      </c>
      <c r="Q31" s="97">
        <f t="shared" si="3"/>
        <v>-9</v>
      </c>
      <c r="R31" s="97">
        <f t="shared" si="4"/>
        <v>-39</v>
      </c>
      <c r="S31" s="2">
        <v>29</v>
      </c>
      <c r="T31" s="131">
        <f t="shared" si="5"/>
        <v>0</v>
      </c>
      <c r="U31" s="131"/>
    </row>
    <row r="32" spans="1:21" ht="15">
      <c r="A32" s="125" t="s">
        <v>129</v>
      </c>
      <c r="B32" s="126">
        <v>43646</v>
      </c>
      <c r="C32" s="127" t="s">
        <v>620</v>
      </c>
      <c r="D32" s="128">
        <v>1434.82</v>
      </c>
      <c r="K32" s="129">
        <v>43656</v>
      </c>
      <c r="M32" s="124">
        <f t="shared" si="0"/>
        <v>43661</v>
      </c>
      <c r="N32" s="124">
        <v>43661</v>
      </c>
      <c r="O32" s="97">
        <f t="shared" si="1"/>
        <v>-5</v>
      </c>
      <c r="P32" s="97">
        <f t="shared" si="2"/>
        <v>0</v>
      </c>
      <c r="Q32" s="97">
        <f t="shared" si="3"/>
        <v>5</v>
      </c>
      <c r="R32" s="97">
        <f t="shared" si="4"/>
        <v>-25</v>
      </c>
      <c r="S32" s="2">
        <v>29</v>
      </c>
      <c r="T32" s="131">
        <f t="shared" si="5"/>
        <v>0</v>
      </c>
      <c r="U32" s="131"/>
    </row>
    <row r="33" spans="1:21" ht="15">
      <c r="A33" s="125" t="s">
        <v>128</v>
      </c>
      <c r="B33" s="126">
        <v>43646</v>
      </c>
      <c r="C33" s="127" t="s">
        <v>621</v>
      </c>
      <c r="D33" s="128">
        <v>363</v>
      </c>
      <c r="K33" s="129">
        <v>43658</v>
      </c>
      <c r="M33" s="124">
        <f t="shared" si="0"/>
        <v>43661</v>
      </c>
      <c r="N33" s="124">
        <v>43661</v>
      </c>
      <c r="O33" s="97">
        <f t="shared" si="1"/>
        <v>-3</v>
      </c>
      <c r="P33" s="97">
        <f t="shared" si="2"/>
        <v>0</v>
      </c>
      <c r="Q33" s="97">
        <f t="shared" si="3"/>
        <v>3</v>
      </c>
      <c r="R33" s="97">
        <f t="shared" si="4"/>
        <v>-27</v>
      </c>
      <c r="S33" s="2">
        <v>21</v>
      </c>
      <c r="T33" s="131">
        <f t="shared" si="5"/>
        <v>0</v>
      </c>
      <c r="U33" s="131"/>
    </row>
    <row r="34" spans="1:21" ht="15">
      <c r="A34" s="125" t="s">
        <v>116</v>
      </c>
      <c r="B34" s="126">
        <v>43646</v>
      </c>
      <c r="C34" s="127" t="s">
        <v>633</v>
      </c>
      <c r="D34" s="128">
        <v>1918.8</v>
      </c>
      <c r="K34" s="129">
        <v>43655</v>
      </c>
      <c r="M34" s="124">
        <f t="shared" si="0"/>
        <v>43661</v>
      </c>
      <c r="N34" s="124">
        <v>43661</v>
      </c>
      <c r="O34" s="97">
        <f t="shared" si="1"/>
        <v>-6</v>
      </c>
      <c r="P34" s="97">
        <f t="shared" si="2"/>
        <v>0</v>
      </c>
      <c r="Q34" s="97">
        <f t="shared" si="3"/>
        <v>6</v>
      </c>
      <c r="R34" s="97">
        <f t="shared" si="4"/>
        <v>-24</v>
      </c>
      <c r="S34" s="2">
        <v>29</v>
      </c>
      <c r="T34" s="131">
        <f t="shared" si="5"/>
        <v>0</v>
      </c>
      <c r="U34" s="131"/>
    </row>
    <row r="35" spans="1:21" ht="15">
      <c r="A35" s="125" t="s">
        <v>113</v>
      </c>
      <c r="B35" s="126">
        <v>43646</v>
      </c>
      <c r="C35" s="127" t="s">
        <v>636</v>
      </c>
      <c r="D35" s="128">
        <v>43.8</v>
      </c>
      <c r="K35" s="129">
        <v>43662</v>
      </c>
      <c r="M35" s="124">
        <f t="shared" si="0"/>
        <v>43676</v>
      </c>
      <c r="N35" s="124">
        <v>43676</v>
      </c>
      <c r="O35" s="97">
        <f t="shared" si="1"/>
        <v>-14</v>
      </c>
      <c r="P35" s="97">
        <f t="shared" si="2"/>
        <v>0</v>
      </c>
      <c r="Q35" s="97">
        <f t="shared" si="3"/>
        <v>14</v>
      </c>
      <c r="R35" s="97">
        <f t="shared" si="4"/>
        <v>-16</v>
      </c>
      <c r="S35" s="2">
        <v>29</v>
      </c>
      <c r="T35" s="131">
        <f t="shared" si="5"/>
        <v>0</v>
      </c>
      <c r="U35" s="131"/>
    </row>
    <row r="36" spans="1:21" ht="15">
      <c r="A36" s="125" t="s">
        <v>111</v>
      </c>
      <c r="B36" s="126">
        <v>43646</v>
      </c>
      <c r="C36" s="127" t="s">
        <v>638</v>
      </c>
      <c r="D36" s="128">
        <v>3241.93</v>
      </c>
      <c r="K36" s="129">
        <v>43658</v>
      </c>
      <c r="M36" s="124">
        <f t="shared" si="0"/>
        <v>43661</v>
      </c>
      <c r="N36" s="124">
        <v>43661</v>
      </c>
      <c r="O36" s="97">
        <f t="shared" si="1"/>
        <v>-3</v>
      </c>
      <c r="P36" s="97">
        <f t="shared" si="2"/>
        <v>0</v>
      </c>
      <c r="Q36" s="97">
        <f t="shared" si="3"/>
        <v>3</v>
      </c>
      <c r="R36" s="97">
        <f t="shared" si="4"/>
        <v>-27</v>
      </c>
      <c r="S36" s="2">
        <v>29</v>
      </c>
      <c r="T36" s="131">
        <f t="shared" si="5"/>
        <v>0</v>
      </c>
      <c r="U36" s="131"/>
    </row>
    <row r="37" spans="1:21" ht="15">
      <c r="A37" s="125" t="s">
        <v>365</v>
      </c>
      <c r="B37" s="126">
        <v>43623</v>
      </c>
      <c r="C37" s="127" t="s">
        <v>389</v>
      </c>
      <c r="D37" s="128">
        <v>821.59</v>
      </c>
      <c r="F37" s="121"/>
      <c r="K37" s="129">
        <v>43654</v>
      </c>
      <c r="M37" s="124">
        <f t="shared" si="0"/>
        <v>43651</v>
      </c>
      <c r="N37" s="130">
        <v>43651</v>
      </c>
      <c r="O37" s="97">
        <f t="shared" si="1"/>
        <v>3</v>
      </c>
      <c r="P37" s="97">
        <f t="shared" si="2"/>
        <v>0</v>
      </c>
      <c r="Q37" s="97">
        <f t="shared" si="3"/>
        <v>-3</v>
      </c>
      <c r="R37" s="97">
        <f t="shared" si="4"/>
        <v>-33</v>
      </c>
      <c r="S37" s="2">
        <v>29</v>
      </c>
      <c r="T37" s="131">
        <f t="shared" si="5"/>
        <v>0</v>
      </c>
      <c r="U37" s="131"/>
    </row>
    <row r="38" spans="1:21" ht="15">
      <c r="A38" s="125" t="s">
        <v>359</v>
      </c>
      <c r="B38" s="126">
        <v>43616</v>
      </c>
      <c r="C38" s="127" t="s">
        <v>395</v>
      </c>
      <c r="D38" s="128">
        <v>1996.5</v>
      </c>
      <c r="F38" s="121"/>
      <c r="K38" s="129">
        <v>43651</v>
      </c>
      <c r="M38" s="124">
        <f t="shared" si="0"/>
        <v>43661</v>
      </c>
      <c r="N38" s="130">
        <v>43661</v>
      </c>
      <c r="O38" s="97">
        <f t="shared" si="1"/>
        <v>-10</v>
      </c>
      <c r="P38" s="97">
        <f t="shared" si="2"/>
        <v>0</v>
      </c>
      <c r="Q38" s="97">
        <f t="shared" si="3"/>
        <v>10</v>
      </c>
      <c r="R38" s="97">
        <f t="shared" si="4"/>
        <v>-20</v>
      </c>
      <c r="S38" s="2">
        <v>29</v>
      </c>
      <c r="T38" s="131">
        <f t="shared" si="5"/>
        <v>0</v>
      </c>
      <c r="U38" s="131"/>
    </row>
    <row r="39" spans="1:21" ht="15">
      <c r="A39" s="125" t="s">
        <v>358</v>
      </c>
      <c r="B39" s="126">
        <v>43644</v>
      </c>
      <c r="C39" s="127" t="s">
        <v>396</v>
      </c>
      <c r="D39" s="128">
        <v>798.6</v>
      </c>
      <c r="F39" s="121"/>
      <c r="K39" s="129">
        <v>43655</v>
      </c>
      <c r="M39" s="124">
        <f t="shared" si="0"/>
        <v>43661</v>
      </c>
      <c r="N39" s="130">
        <v>43661</v>
      </c>
      <c r="O39" s="97">
        <f t="shared" si="1"/>
        <v>-6</v>
      </c>
      <c r="P39" s="97">
        <f t="shared" si="2"/>
        <v>0</v>
      </c>
      <c r="Q39" s="97">
        <f t="shared" si="3"/>
        <v>6</v>
      </c>
      <c r="R39" s="97">
        <f t="shared" si="4"/>
        <v>-24</v>
      </c>
      <c r="S39" s="2">
        <v>29</v>
      </c>
      <c r="T39" s="131">
        <f t="shared" si="5"/>
        <v>0</v>
      </c>
      <c r="U39" s="131"/>
    </row>
    <row r="40" spans="1:21" ht="15">
      <c r="A40" s="125" t="s">
        <v>357</v>
      </c>
      <c r="B40" s="126">
        <v>43631</v>
      </c>
      <c r="C40" s="127" t="s">
        <v>397</v>
      </c>
      <c r="D40" s="128">
        <v>254.1</v>
      </c>
      <c r="F40" s="121"/>
      <c r="K40" s="129">
        <v>43656</v>
      </c>
      <c r="M40" s="124">
        <f t="shared" si="0"/>
        <v>43661</v>
      </c>
      <c r="N40" s="130">
        <v>43661</v>
      </c>
      <c r="O40" s="97">
        <f t="shared" si="1"/>
        <v>-5</v>
      </c>
      <c r="P40" s="97">
        <f t="shared" si="2"/>
        <v>0</v>
      </c>
      <c r="Q40" s="97">
        <f t="shared" si="3"/>
        <v>5</v>
      </c>
      <c r="R40" s="97">
        <f t="shared" si="4"/>
        <v>-25</v>
      </c>
      <c r="S40" s="2">
        <v>29</v>
      </c>
      <c r="T40" s="131">
        <f t="shared" si="5"/>
        <v>0</v>
      </c>
      <c r="U40" s="131"/>
    </row>
    <row r="41" spans="1:21" ht="15">
      <c r="A41" s="125" t="s">
        <v>198</v>
      </c>
      <c r="B41" s="126">
        <v>43646</v>
      </c>
      <c r="C41" s="127" t="s">
        <v>556</v>
      </c>
      <c r="D41" s="128">
        <v>379.94</v>
      </c>
      <c r="F41" s="121"/>
      <c r="K41" s="129">
        <v>43658</v>
      </c>
      <c r="M41" s="124">
        <f t="shared" si="0"/>
        <v>43647</v>
      </c>
      <c r="N41" s="122">
        <v>43647</v>
      </c>
      <c r="O41" s="97">
        <f t="shared" si="1"/>
        <v>11</v>
      </c>
      <c r="P41" s="97">
        <f t="shared" si="2"/>
        <v>0</v>
      </c>
      <c r="Q41" s="97">
        <f t="shared" si="3"/>
        <v>-11</v>
      </c>
      <c r="R41" s="97">
        <f t="shared" si="4"/>
        <v>-41</v>
      </c>
      <c r="S41" s="2">
        <v>29</v>
      </c>
      <c r="T41" s="131">
        <f t="shared" si="5"/>
        <v>0</v>
      </c>
      <c r="U41" s="131"/>
    </row>
    <row r="42" spans="1:21" ht="15">
      <c r="A42" s="121"/>
      <c r="B42" s="122"/>
      <c r="C42" s="121"/>
      <c r="D42" s="123"/>
      <c r="F42" s="121"/>
      <c r="K42" s="122"/>
      <c r="M42" s="124"/>
      <c r="N42" s="122"/>
      <c r="Q42" s="10"/>
      <c r="R42" s="10"/>
      <c r="S42" s="2"/>
      <c r="T42" s="8"/>
      <c r="U42" s="8"/>
    </row>
    <row r="43" spans="1:21" ht="15">
      <c r="A43" s="121"/>
      <c r="B43" s="122"/>
      <c r="C43" s="121"/>
      <c r="D43" s="123"/>
      <c r="F43" s="121"/>
      <c r="K43" s="122"/>
      <c r="M43" s="124"/>
      <c r="N43" s="122"/>
      <c r="Q43" s="10"/>
      <c r="R43" s="10"/>
      <c r="S43" s="2"/>
      <c r="T43" s="8"/>
      <c r="U43" s="8"/>
    </row>
    <row r="44" spans="1:21" ht="15">
      <c r="A44" s="121"/>
      <c r="B44" s="122"/>
      <c r="C44" s="121"/>
      <c r="D44" s="123"/>
      <c r="F44" s="121"/>
      <c r="K44" s="122"/>
      <c r="M44" s="124"/>
      <c r="N44" s="122"/>
      <c r="Q44" s="10"/>
      <c r="R44" s="10"/>
      <c r="S44" s="2"/>
      <c r="T44" s="8"/>
      <c r="U44" s="8"/>
    </row>
    <row r="45" spans="1:21" ht="15">
      <c r="A45" s="121"/>
      <c r="B45" s="122"/>
      <c r="C45" s="121"/>
      <c r="D45" s="123"/>
      <c r="F45" s="121"/>
      <c r="K45" s="122"/>
      <c r="M45" s="124"/>
      <c r="N45" s="122"/>
      <c r="Q45" s="10"/>
      <c r="R45" s="10"/>
      <c r="S45" s="2"/>
      <c r="T45" s="8"/>
      <c r="U45" s="8"/>
    </row>
    <row r="46" spans="1:21" ht="15">
      <c r="A46" s="121"/>
      <c r="B46" s="122"/>
      <c r="C46" s="121"/>
      <c r="D46" s="123"/>
      <c r="F46" s="121"/>
      <c r="K46" s="122"/>
      <c r="M46" s="124"/>
      <c r="N46" s="122"/>
      <c r="Q46" s="10"/>
      <c r="R46" s="10"/>
      <c r="S46" s="2"/>
      <c r="T46" s="8"/>
      <c r="U46" s="8"/>
    </row>
    <row r="47" spans="1:21" ht="15">
      <c r="A47" s="121"/>
      <c r="B47" s="122"/>
      <c r="C47" s="121"/>
      <c r="D47" s="123"/>
      <c r="F47" s="121"/>
      <c r="K47" s="122"/>
      <c r="M47" s="124"/>
      <c r="N47" s="122"/>
      <c r="Q47" s="10"/>
      <c r="R47" s="10"/>
      <c r="S47" s="2"/>
      <c r="T47" s="8"/>
      <c r="U47" s="8"/>
    </row>
    <row r="48" spans="1:21" ht="15">
      <c r="A48" s="121"/>
      <c r="B48" s="122"/>
      <c r="C48" s="121"/>
      <c r="D48" s="123"/>
      <c r="F48" s="121"/>
      <c r="K48" s="122"/>
      <c r="M48" s="124"/>
      <c r="N48" s="122"/>
      <c r="Q48" s="10"/>
      <c r="R48" s="10"/>
      <c r="S48" s="2"/>
      <c r="T48" s="8"/>
      <c r="U48" s="8"/>
    </row>
    <row r="49" spans="1:21" ht="15">
      <c r="A49" s="121"/>
      <c r="B49" s="122"/>
      <c r="C49" s="121"/>
      <c r="D49" s="123"/>
      <c r="F49" s="121"/>
      <c r="K49" s="122"/>
      <c r="M49" s="124"/>
      <c r="N49" s="122"/>
      <c r="Q49" s="10"/>
      <c r="R49" s="10"/>
      <c r="S49" s="2"/>
      <c r="T49" s="8"/>
      <c r="U49" s="8"/>
    </row>
    <row r="50" spans="1:21" ht="15">
      <c r="A50" s="121"/>
      <c r="B50" s="122"/>
      <c r="C50" s="121"/>
      <c r="D50" s="123"/>
      <c r="F50" s="121"/>
      <c r="K50" s="122"/>
      <c r="M50" s="124"/>
      <c r="N50" s="122"/>
      <c r="Q50" s="10"/>
      <c r="R50" s="10"/>
      <c r="S50" s="2"/>
      <c r="T50" s="8"/>
      <c r="U50" s="8"/>
    </row>
    <row r="51" spans="1:21" ht="15">
      <c r="A51" s="121"/>
      <c r="B51" s="122"/>
      <c r="C51" s="121"/>
      <c r="D51" s="123"/>
      <c r="F51" s="121"/>
      <c r="K51" s="122"/>
      <c r="M51" s="124"/>
      <c r="N51" s="122"/>
      <c r="Q51" s="10"/>
      <c r="R51" s="10"/>
      <c r="S51" s="2"/>
      <c r="T51" s="8"/>
      <c r="U51" s="8"/>
    </row>
    <row r="52" spans="1:21" ht="15">
      <c r="A52" s="121"/>
      <c r="B52" s="122"/>
      <c r="C52" s="121"/>
      <c r="D52" s="123"/>
      <c r="F52" s="121"/>
      <c r="K52" s="122"/>
      <c r="M52" s="124"/>
      <c r="N52" s="122"/>
      <c r="Q52" s="10"/>
      <c r="R52" s="10"/>
      <c r="S52" s="2"/>
      <c r="T52" s="8"/>
      <c r="U52" s="8"/>
    </row>
    <row r="53" spans="1:21" ht="15">
      <c r="A53" s="121"/>
      <c r="B53" s="122"/>
      <c r="C53" s="121"/>
      <c r="D53" s="123"/>
      <c r="F53" s="121"/>
      <c r="K53" s="122"/>
      <c r="M53" s="124"/>
      <c r="N53" s="122"/>
      <c r="Q53" s="10"/>
      <c r="R53" s="10"/>
      <c r="S53" s="2"/>
      <c r="T53" s="8"/>
      <c r="U53" s="8"/>
    </row>
  </sheetData>
  <sheetProtection/>
  <printOptions/>
  <pageMargins left="0.75" right="0.75" top="1" bottom="1" header="0.4921259845" footer="0.492125984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USR05</dc:creator>
  <cp:keywords/>
  <dc:description/>
  <cp:lastModifiedBy>Bakartxo Villar</cp:lastModifiedBy>
  <cp:lastPrinted>2019-07-18T10:03:00Z</cp:lastPrinted>
  <dcterms:created xsi:type="dcterms:W3CDTF">2013-12-21T08:23:27Z</dcterms:created>
  <dcterms:modified xsi:type="dcterms:W3CDTF">2019-08-29T05:45:16Z</dcterms:modified>
  <cp:category/>
  <cp:version/>
  <cp:contentType/>
  <cp:contentStatus/>
</cp:coreProperties>
</file>