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'xehet1'!$A$3:$R$129</definedName>
    <definedName name="_xlnm.Print_Area" localSheetId="2">'xehet2'!$A$1:$R$21</definedName>
    <definedName name="_xlnm.Print_Area" localSheetId="3">'xehet32'!$A$3:$P$10</definedName>
  </definedNames>
  <calcPr fullCalcOnLoad="1"/>
</workbook>
</file>

<file path=xl/sharedStrings.xml><?xml version="1.0" encoding="utf-8"?>
<sst xmlns="http://schemas.openxmlformats.org/spreadsheetml/2006/main" count="608" uniqueCount="523">
  <si>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</si>
  <si>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</si>
  <si>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</si>
  <si>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</si>
  <si>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</si>
  <si>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</si>
  <si>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</si>
  <si>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</si>
  <si>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</si>
  <si>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</si>
  <si>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</si>
  <si>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</si>
  <si>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</si>
  <si>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</si>
  <si>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</si>
  <si>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</si>
  <si>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</si>
  <si>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</si>
  <si>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</si>
  <si>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</si>
  <si>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</si>
  <si>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</si>
  <si>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</si>
  <si>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</si>
  <si>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</si>
  <si>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</si>
  <si>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</si>
  <si>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</si>
  <si>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</si>
  <si>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</si>
  <si>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</si>
  <si>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</si>
  <si>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</si>
  <si>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</si>
  <si>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</si>
  <si>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</si>
  <si>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</si>
  <si>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</si>
  <si>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</si>
  <si>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</si>
  <si>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</si>
  <si>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</si>
  <si>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</si>
  <si>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</si>
  <si>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</si>
  <si>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</si>
  <si>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</si>
  <si>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</si>
  <si>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</si>
  <si>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</si>
  <si>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</si>
  <si>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</si>
  <si>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</si>
  <si>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</si>
  <si>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</si>
  <si>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</si>
  <si>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</si>
  <si>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</si>
  <si>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</si>
  <si>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</si>
  <si>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</si>
  <si>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</si>
  <si>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</si>
  <si>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</si>
  <si>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</si>
  <si>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</si>
  <si>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</si>
  <si>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</si>
  <si>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</si>
  <si>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</si>
  <si>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</si>
  <si>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</si>
  <si>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</si>
  <si>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</si>
  <si>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</si>
  <si>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</si>
  <si>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</si>
  <si>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</si>
  <si>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</si>
  <si>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</si>
  <si>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</si>
  <si>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</si>
  <si>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</si>
  <si>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</si>
  <si>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</si>
  <si>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</si>
  <si>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</si>
  <si>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</si>
  <si>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</si>
  <si>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</si>
  <si>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</si>
  <si>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</si>
  <si>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</si>
  <si>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</si>
  <si>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</si>
  <si>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</si>
  <si>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</si>
  <si>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</si>
  <si>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</si>
  <si>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</si>
  <si>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</si>
  <si>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</si>
  <si>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</si>
  <si>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</si>
  <si>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</si>
  <si>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</si>
  <si>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</si>
  <si>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FCC1500242</t>
  </si>
  <si>
    <t>1/2015/2.653</t>
  </si>
  <si>
    <t>FCC1500004</t>
  </si>
  <si>
    <t>4/2015</t>
  </si>
  <si>
    <t>FCC1500005</t>
  </si>
  <si>
    <t>5/2015</t>
  </si>
  <si>
    <t>FCC1500006</t>
  </si>
  <si>
    <t>6/2015</t>
  </si>
  <si>
    <t>FCC1500013</t>
  </si>
  <si>
    <t>FCC1500014</t>
  </si>
  <si>
    <t>FCC1500015</t>
  </si>
  <si>
    <t>FCC1500174</t>
  </si>
  <si>
    <t>01GV16O</t>
  </si>
  <si>
    <t>10</t>
  </si>
  <si>
    <t>FCC1500175</t>
  </si>
  <si>
    <t>01GW8VF</t>
  </si>
  <si>
    <t>FCC1500176</t>
  </si>
  <si>
    <t>01GW8VH</t>
  </si>
  <si>
    <t>FCC1500177</t>
  </si>
  <si>
    <t>01GW8VD</t>
  </si>
  <si>
    <t>FCC1500178</t>
  </si>
  <si>
    <t>01GW8VB</t>
  </si>
  <si>
    <t>FCC1500186</t>
  </si>
  <si>
    <t>15/A-019</t>
  </si>
  <si>
    <t>FCC1500191</t>
  </si>
  <si>
    <t>11e159910000046445</t>
  </si>
  <si>
    <t>FCC1500196</t>
  </si>
  <si>
    <t>AS14727</t>
  </si>
  <si>
    <t>FCC1500197</t>
  </si>
  <si>
    <t>AS14743</t>
  </si>
  <si>
    <t>FCC1500202</t>
  </si>
  <si>
    <t>20150414010098781</t>
  </si>
  <si>
    <t>FCC1500203</t>
  </si>
  <si>
    <t>20150414010276239</t>
  </si>
  <si>
    <t>FCC1500226</t>
  </si>
  <si>
    <t>351951</t>
  </si>
  <si>
    <t>FCC1500228</t>
  </si>
  <si>
    <t>8/15</t>
  </si>
  <si>
    <t>FCC1500229</t>
  </si>
  <si>
    <t>15/A-020</t>
  </si>
  <si>
    <t>FCC1500231</t>
  </si>
  <si>
    <t>1504C0622714</t>
  </si>
  <si>
    <t>FCC1500235</t>
  </si>
  <si>
    <t>2015-47/E4201</t>
  </si>
  <si>
    <t>FCC1500237</t>
  </si>
  <si>
    <t>20150415010004633</t>
  </si>
  <si>
    <t>FCC1500241</t>
  </si>
  <si>
    <t>20150415010206176</t>
  </si>
  <si>
    <t>FCC1500245</t>
  </si>
  <si>
    <t>R009C9K</t>
  </si>
  <si>
    <t>FCC1500246</t>
  </si>
  <si>
    <t>R009C9I</t>
  </si>
  <si>
    <t>FCC1500247</t>
  </si>
  <si>
    <t>R009C9M</t>
  </si>
  <si>
    <t>FCC1500248</t>
  </si>
  <si>
    <t>R009C8E</t>
  </si>
  <si>
    <t>FCC1500249</t>
  </si>
  <si>
    <t>R009CBK</t>
  </si>
  <si>
    <t>FCC1500250</t>
  </si>
  <si>
    <t>R009C1G</t>
  </si>
  <si>
    <t>FCC1500251</t>
  </si>
  <si>
    <t>R009BGK</t>
  </si>
  <si>
    <t>FCC1500252</t>
  </si>
  <si>
    <t>R009CHI</t>
  </si>
  <si>
    <t>FCC1500253</t>
  </si>
  <si>
    <t>R009C3C</t>
  </si>
  <si>
    <t>FCC1500254</t>
  </si>
  <si>
    <t>R009CFO</t>
  </si>
  <si>
    <t>FCC1500255</t>
  </si>
  <si>
    <t>R009CEC</t>
  </si>
  <si>
    <t>FCC1500256</t>
  </si>
  <si>
    <t>R009CFU</t>
  </si>
  <si>
    <t>FCC1500257</t>
  </si>
  <si>
    <t>R009CFQ</t>
  </si>
  <si>
    <t>FCC1500258</t>
  </si>
  <si>
    <t>R009CFS</t>
  </si>
  <si>
    <t>FCC1500259</t>
  </si>
  <si>
    <t>R009C1C</t>
  </si>
  <si>
    <t>FCC1500260</t>
  </si>
  <si>
    <t>R009BHU</t>
  </si>
  <si>
    <t>FCC1500261</t>
  </si>
  <si>
    <t>R009C1I</t>
  </si>
  <si>
    <t>FCC1500262</t>
  </si>
  <si>
    <t>R009C1E</t>
  </si>
  <si>
    <t>FCC1500263</t>
  </si>
  <si>
    <t>R009BGI</t>
  </si>
  <si>
    <t>FCC1500264</t>
  </si>
  <si>
    <t>R009BGG</t>
  </si>
  <si>
    <t>FCC1500265</t>
  </si>
  <si>
    <t>R009BGE</t>
  </si>
  <si>
    <t>FCC1500268</t>
  </si>
  <si>
    <t>F15-155</t>
  </si>
  <si>
    <t>FCC1500270</t>
  </si>
  <si>
    <t>352497</t>
  </si>
  <si>
    <t>FCC1500271</t>
  </si>
  <si>
    <t>06</t>
  </si>
  <si>
    <t>FCC1500272</t>
  </si>
  <si>
    <t>28-D581-022217</t>
  </si>
  <si>
    <t>FCC1500273</t>
  </si>
  <si>
    <t>28-E580-994751</t>
  </si>
  <si>
    <t>FCC1500274</t>
  </si>
  <si>
    <t>2015061</t>
  </si>
  <si>
    <t>FCC1500275</t>
  </si>
  <si>
    <t>2015029</t>
  </si>
  <si>
    <t>FCC1500276</t>
  </si>
  <si>
    <t>104/15</t>
  </si>
  <si>
    <t>FCC1500277</t>
  </si>
  <si>
    <t>BD-091</t>
  </si>
  <si>
    <t>FCC1500278</t>
  </si>
  <si>
    <t>113/15/GIP</t>
  </si>
  <si>
    <t>FCC1500279</t>
  </si>
  <si>
    <t>7</t>
  </si>
  <si>
    <t>FCC1500284</t>
  </si>
  <si>
    <t>GTS OBRA FACHADA 30%</t>
  </si>
  <si>
    <t>FCC1500286</t>
  </si>
  <si>
    <t>Z57625</t>
  </si>
  <si>
    <t>FCC1500287</t>
  </si>
  <si>
    <t>01H3PCU</t>
  </si>
  <si>
    <t>FCC1500288</t>
  </si>
  <si>
    <t>01H3PCS</t>
  </si>
  <si>
    <t>FCC1500289</t>
  </si>
  <si>
    <t>01H3PCQ</t>
  </si>
  <si>
    <t>FCC1500290</t>
  </si>
  <si>
    <t>01H3PCO</t>
  </si>
  <si>
    <t>FCC1500291</t>
  </si>
  <si>
    <t>01H21DD</t>
  </si>
  <si>
    <t>FCC1500292</t>
  </si>
  <si>
    <t>317642</t>
  </si>
  <si>
    <t>FCC1500293</t>
  </si>
  <si>
    <t>TA4ZI0116845</t>
  </si>
  <si>
    <t>FCC1500294</t>
  </si>
  <si>
    <t>TA4ZI0116844</t>
  </si>
  <si>
    <t>FCC1500295</t>
  </si>
  <si>
    <t>A/001279</t>
  </si>
  <si>
    <t>FCC1500297</t>
  </si>
  <si>
    <t>2015/1903</t>
  </si>
  <si>
    <t>FCC1500298</t>
  </si>
  <si>
    <t>SI201502196</t>
  </si>
  <si>
    <t>FCC1500299</t>
  </si>
  <si>
    <t>20150415010132499</t>
  </si>
  <si>
    <t>FCC1500300</t>
  </si>
  <si>
    <t>20150414010099402</t>
  </si>
  <si>
    <t>FCC1500301</t>
  </si>
  <si>
    <t>20150414010102482</t>
  </si>
  <si>
    <t>FCC1500302</t>
  </si>
  <si>
    <t>7250103618</t>
  </si>
  <si>
    <t>FCC1500303</t>
  </si>
  <si>
    <t>RI / 15019078</t>
  </si>
  <si>
    <t>FCC1500308</t>
  </si>
  <si>
    <t>00002159</t>
  </si>
  <si>
    <t>FCC1500309</t>
  </si>
  <si>
    <t>15505</t>
  </si>
  <si>
    <t>FCC1500310</t>
  </si>
  <si>
    <t>039</t>
  </si>
  <si>
    <t>FCC1500311</t>
  </si>
  <si>
    <t>G-11862</t>
  </si>
  <si>
    <t>FCC1500314</t>
  </si>
  <si>
    <t>2078</t>
  </si>
  <si>
    <t>FCC1500315</t>
  </si>
  <si>
    <t>20150417010005637</t>
  </si>
  <si>
    <t>FCC1500316</t>
  </si>
  <si>
    <t>20150417010005638</t>
  </si>
  <si>
    <t>FCC1500317</t>
  </si>
  <si>
    <t>20150417010308515</t>
  </si>
  <si>
    <t>FCC1500318</t>
  </si>
  <si>
    <t>123</t>
  </si>
  <si>
    <t>FCC1500319</t>
  </si>
  <si>
    <t>152712</t>
  </si>
  <si>
    <t>FCC1500321</t>
  </si>
  <si>
    <t>433160/1</t>
  </si>
  <si>
    <t>FCC1500322</t>
  </si>
  <si>
    <t>20150519010005385</t>
  </si>
  <si>
    <t>FCC1500323</t>
  </si>
  <si>
    <t>11E159910000059792</t>
  </si>
  <si>
    <t>FCC1500324</t>
  </si>
  <si>
    <t>20150515010005126</t>
  </si>
  <si>
    <t>FCC1500325</t>
  </si>
  <si>
    <t>20150515010264503</t>
  </si>
  <si>
    <t>FCC1500326</t>
  </si>
  <si>
    <t>20150515010005124</t>
  </si>
  <si>
    <t>FCC1500330</t>
  </si>
  <si>
    <t>2015/1902</t>
  </si>
  <si>
    <t>FCC1500331</t>
  </si>
  <si>
    <t>20150367</t>
  </si>
  <si>
    <t>FCC1500332</t>
  </si>
  <si>
    <t>0000041361</t>
  </si>
  <si>
    <t>FCC1500333</t>
  </si>
  <si>
    <t>BD-110</t>
  </si>
  <si>
    <t>FCC1500334</t>
  </si>
  <si>
    <t>337/15</t>
  </si>
  <si>
    <t>FCC1500335</t>
  </si>
  <si>
    <t>08-2015</t>
  </si>
  <si>
    <t>FCC1500336</t>
  </si>
  <si>
    <t>GTS OBRA FACHADA 2º 30%</t>
  </si>
  <si>
    <t>FCC1500337</t>
  </si>
  <si>
    <t>Z84739</t>
  </si>
  <si>
    <t>FCC1500338</t>
  </si>
  <si>
    <t>352938</t>
  </si>
  <si>
    <t>FCC1500343</t>
  </si>
  <si>
    <t>15/TRENA/IV</t>
  </si>
  <si>
    <t>FCC1500344</t>
  </si>
  <si>
    <t>20150608010248346</t>
  </si>
  <si>
    <t>FCC1500345</t>
  </si>
  <si>
    <t>20150608010345779</t>
  </si>
  <si>
    <t>FCC1500346</t>
  </si>
  <si>
    <t>20150609010096818</t>
  </si>
  <si>
    <t>FCC1500347</t>
  </si>
  <si>
    <t>20150612010005038</t>
  </si>
  <si>
    <t>FCC1500348</t>
  </si>
  <si>
    <t>15/A-028</t>
  </si>
  <si>
    <t>FCC1500349</t>
  </si>
  <si>
    <t>A6001080635</t>
  </si>
  <si>
    <t>FCC1500350</t>
  </si>
  <si>
    <t>20150608010260489</t>
  </si>
  <si>
    <t>FCC1500351</t>
  </si>
  <si>
    <t>286-2015</t>
  </si>
  <si>
    <t>FCC1500352</t>
  </si>
  <si>
    <t>15/A-027</t>
  </si>
  <si>
    <t>FCC1500354</t>
  </si>
  <si>
    <t>SI201502628</t>
  </si>
  <si>
    <t>FCC1500355</t>
  </si>
  <si>
    <t>A 17910</t>
  </si>
  <si>
    <t>FCC1500356</t>
  </si>
  <si>
    <t>08</t>
  </si>
  <si>
    <t>FCC1500357</t>
  </si>
  <si>
    <t>07</t>
  </si>
  <si>
    <t>FCC1500358</t>
  </si>
  <si>
    <t>A 18125</t>
  </si>
  <si>
    <t>FCC1500359</t>
  </si>
  <si>
    <t>3/150002993</t>
  </si>
  <si>
    <t>FCC1500360</t>
  </si>
  <si>
    <t>126/15</t>
  </si>
  <si>
    <t>FCC1500361</t>
  </si>
  <si>
    <t>20150608010167890</t>
  </si>
  <si>
    <t>FCC1500362</t>
  </si>
  <si>
    <t>540777</t>
  </si>
  <si>
    <t>FCC1500364</t>
  </si>
  <si>
    <t>HH012</t>
  </si>
  <si>
    <t>FCC1500365</t>
  </si>
  <si>
    <t>367</t>
  </si>
  <si>
    <t>FCC1500366</t>
  </si>
  <si>
    <t>148/15/GIP</t>
  </si>
  <si>
    <t>FCC1500370</t>
  </si>
  <si>
    <t>20150415010004797</t>
  </si>
  <si>
    <t>FCC1500371</t>
  </si>
  <si>
    <t>TK15001421</t>
  </si>
  <si>
    <t>FCC1500372</t>
  </si>
  <si>
    <t>1/2015/3869</t>
  </si>
  <si>
    <t>FCC1500373</t>
  </si>
  <si>
    <t>20150612010004890</t>
  </si>
  <si>
    <t>FCC1500374</t>
  </si>
  <si>
    <t>20150515010005125</t>
  </si>
  <si>
    <t>FCC1500375</t>
  </si>
  <si>
    <t>7250103617</t>
  </si>
  <si>
    <t>FCC1500377</t>
  </si>
  <si>
    <t>20150608010128599</t>
  </si>
  <si>
    <t>FCC1500378</t>
  </si>
  <si>
    <t>20150608010132869</t>
  </si>
  <si>
    <t>FCC1500379</t>
  </si>
  <si>
    <t>00040</t>
  </si>
  <si>
    <t>FCC1500380</t>
  </si>
  <si>
    <t>Z97417</t>
  </si>
  <si>
    <t>FCC1500382</t>
  </si>
  <si>
    <t>FLG AUB35272</t>
  </si>
  <si>
    <t>FCC1500383</t>
  </si>
  <si>
    <t>28-F580-982802</t>
  </si>
  <si>
    <t>FCC1500384</t>
  </si>
  <si>
    <t>TA4ZJ0102833</t>
  </si>
  <si>
    <t>FCC1500385</t>
  </si>
  <si>
    <t>TA4ZJ0111915</t>
  </si>
  <si>
    <t>FCC1500391</t>
  </si>
  <si>
    <t>20150608010131186</t>
  </si>
  <si>
    <t>FCC1500395</t>
  </si>
  <si>
    <t>11E159910000072097</t>
  </si>
  <si>
    <t>FCC1500396</t>
  </si>
  <si>
    <t>20150611010268793</t>
  </si>
  <si>
    <t>FCC1500397</t>
  </si>
  <si>
    <t>20150615010006039</t>
  </si>
  <si>
    <t>FCC1500398</t>
  </si>
  <si>
    <t>20150615010006040</t>
  </si>
  <si>
    <t>FCC1500399</t>
  </si>
  <si>
    <t>154</t>
  </si>
  <si>
    <t>FCC1500400</t>
  </si>
  <si>
    <t>15-S-1.431</t>
  </si>
  <si>
    <t>FCC1500418</t>
  </si>
  <si>
    <t>12015553358</t>
  </si>
  <si>
    <t>FCC1500425</t>
  </si>
  <si>
    <t>01HDNK3</t>
  </si>
  <si>
    <t>FCC1500426</t>
  </si>
  <si>
    <t>01HCF7Q</t>
  </si>
  <si>
    <t>FCC1500427</t>
  </si>
  <si>
    <t>01HCF7K</t>
  </si>
  <si>
    <t>FCC1500428</t>
  </si>
  <si>
    <t>01HCF7O</t>
  </si>
  <si>
    <t>FCC1500429</t>
  </si>
  <si>
    <t>207560</t>
  </si>
  <si>
    <t>FCC1500430</t>
  </si>
  <si>
    <t>01HCF7M</t>
  </si>
  <si>
    <t>FCC1500435</t>
  </si>
  <si>
    <t>20150416010004497</t>
  </si>
  <si>
    <t>FCC1500439</t>
  </si>
  <si>
    <t>1506C0619867</t>
  </si>
  <si>
    <t>FCC1500440</t>
  </si>
  <si>
    <t>1505C0702728</t>
  </si>
  <si>
    <t>FCC1500442</t>
  </si>
  <si>
    <t>20150612010004891</t>
  </si>
  <si>
    <t>FCC1500443</t>
  </si>
  <si>
    <t>20150518010004965</t>
  </si>
  <si>
    <t>FCC1500444</t>
  </si>
  <si>
    <t>361270</t>
  </si>
  <si>
    <t>FCC1500445</t>
  </si>
  <si>
    <t>338736</t>
  </si>
  <si>
    <t>FCC1500469</t>
  </si>
  <si>
    <t>184</t>
  </si>
  <si>
    <t>FCC1500475</t>
  </si>
  <si>
    <t>132</t>
  </si>
  <si>
    <t>FCC1500296</t>
  </si>
  <si>
    <t>00 00000072</t>
  </si>
  <si>
    <t>FCC1500320</t>
  </si>
  <si>
    <t>153193</t>
  </si>
  <si>
    <t>FCC1500353</t>
  </si>
  <si>
    <t>AEU-INV-ES-2015-1659983</t>
  </si>
  <si>
    <t>FCC1500369</t>
  </si>
  <si>
    <t>551036</t>
  </si>
  <si>
    <t>FCC1500376</t>
  </si>
  <si>
    <t>150133</t>
  </si>
  <si>
    <t>FCC1500386</t>
  </si>
  <si>
    <t>1 000175</t>
  </si>
  <si>
    <t>FCC1500387</t>
  </si>
  <si>
    <t>1 000183</t>
  </si>
  <si>
    <t>FCC1500388</t>
  </si>
  <si>
    <t>1 000193</t>
  </si>
  <si>
    <t>FCC1500389</t>
  </si>
  <si>
    <t>1 000204</t>
  </si>
  <si>
    <t>FCC1500390</t>
  </si>
  <si>
    <t>SI201502856</t>
  </si>
  <si>
    <t>FCC1500401</t>
  </si>
  <si>
    <t>20150408</t>
  </si>
  <si>
    <t>FCC1500402</t>
  </si>
  <si>
    <t>20150454</t>
  </si>
  <si>
    <t>FCC1500403</t>
  </si>
  <si>
    <t>156</t>
  </si>
  <si>
    <t>FCC1500404</t>
  </si>
  <si>
    <t>157</t>
  </si>
  <si>
    <t>FCC1500405</t>
  </si>
  <si>
    <t>158</t>
  </si>
  <si>
    <t>FCC1500406</t>
  </si>
  <si>
    <t>159</t>
  </si>
  <si>
    <t>FCC1500407</t>
  </si>
  <si>
    <t>160</t>
  </si>
  <si>
    <t>FCC1500408</t>
  </si>
  <si>
    <t>153540</t>
  </si>
  <si>
    <t>FCC1500410</t>
  </si>
  <si>
    <t>15/000546</t>
  </si>
  <si>
    <t>FCC1500411</t>
  </si>
  <si>
    <t>FCC1500412</t>
  </si>
  <si>
    <t>09</t>
  </si>
  <si>
    <t>FCC1500414</t>
  </si>
  <si>
    <t>1502088</t>
  </si>
  <si>
    <t>FCC1500415</t>
  </si>
  <si>
    <t>353809</t>
  </si>
  <si>
    <t>FCC1500431</t>
  </si>
  <si>
    <t>06-2015</t>
  </si>
  <si>
    <t>FCC1500432</t>
  </si>
  <si>
    <t>FAKTURA</t>
  </si>
  <si>
    <t>FCC1500433</t>
  </si>
  <si>
    <t>15/819</t>
  </si>
  <si>
    <t>FCC1500436</t>
  </si>
  <si>
    <t>ZFV15-00009</t>
  </si>
  <si>
    <t>FCC1500438</t>
  </si>
  <si>
    <t>FV15-00279</t>
  </si>
  <si>
    <t>FCC1500449</t>
  </si>
  <si>
    <t>179/15/GIP</t>
  </si>
  <si>
    <t>FCC1500450</t>
  </si>
  <si>
    <t>32033</t>
  </si>
  <si>
    <t>FCC1500451</t>
  </si>
  <si>
    <t>150505460/01403</t>
  </si>
  <si>
    <t>FCC1500452</t>
  </si>
  <si>
    <t>778</t>
  </si>
  <si>
    <t>FCC1500455</t>
  </si>
  <si>
    <t>A 54</t>
  </si>
  <si>
    <t>FCC1500456</t>
  </si>
  <si>
    <t>A 58</t>
  </si>
  <si>
    <t>FCC1500457</t>
  </si>
  <si>
    <t>A 82</t>
  </si>
  <si>
    <t>FCC1500458</t>
  </si>
  <si>
    <t>A 83</t>
  </si>
  <si>
    <t>FCC1500459</t>
  </si>
  <si>
    <t>A 84</t>
  </si>
  <si>
    <t>FCC1500468</t>
  </si>
  <si>
    <t>220204</t>
  </si>
  <si>
    <t>FCC1500470</t>
  </si>
  <si>
    <t>154422</t>
  </si>
  <si>
    <t>FCC1500471</t>
  </si>
  <si>
    <t>15-S-1.704</t>
  </si>
  <si>
    <t>FCC1500448</t>
  </si>
  <si>
    <t>150706</t>
  </si>
  <si>
    <t>FCC1500472</t>
  </si>
  <si>
    <t>7250105787</t>
  </si>
  <si>
    <t>FCC1500473</t>
  </si>
  <si>
    <t>G-11976</t>
  </si>
  <si>
    <t>FCC1500474</t>
  </si>
  <si>
    <t>551321</t>
  </si>
  <si>
    <t>ezin da momentuz ordaindu</t>
  </si>
  <si>
    <t>90 egunetara</t>
  </si>
  <si>
    <t>giro 15/7</t>
  </si>
  <si>
    <t>giro 22/7</t>
  </si>
  <si>
    <t>giro 29/7</t>
  </si>
  <si>
    <t>giro 10/7</t>
  </si>
  <si>
    <t>giro 20/7</t>
  </si>
  <si>
    <t>giro 30/8</t>
  </si>
  <si>
    <t>giro 31/7</t>
  </si>
  <si>
    <t>giro 30/7</t>
  </si>
  <si>
    <t>14,54</t>
  </si>
  <si>
    <t>786,15</t>
  </si>
  <si>
    <t>125,96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</si>
</sst>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73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0" fontId="0" fillId="0" borderId="0" xfId="59">
      <alignment/>
      <protection/>
    </xf>
    <xf numFmtId="49" fontId="0" fillId="0" borderId="0" xfId="59" applyNumberFormat="1" applyFill="1">
      <alignment/>
      <protection/>
    </xf>
    <xf numFmtId="49" fontId="0" fillId="0" borderId="0" xfId="59" applyNumberFormat="1" applyFont="1">
      <alignment/>
      <protection/>
    </xf>
    <xf numFmtId="14" fontId="0" fillId="0" borderId="0" xfId="59" applyNumberFormat="1" applyFont="1">
      <alignment/>
      <protection/>
    </xf>
    <xf numFmtId="4" fontId="0" fillId="0" borderId="0" xfId="59" applyNumberFormat="1" applyFont="1">
      <alignment/>
      <protection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0" xfId="59" applyNumberFormat="1" applyFont="1" applyFill="1">
      <alignment/>
      <protection/>
    </xf>
    <xf numFmtId="14" fontId="1" fillId="0" borderId="0" xfId="58" applyNumberFormat="1" applyFont="1" applyFill="1" applyAlignment="1">
      <alignment horizontal="center" wrapText="1"/>
      <protection/>
    </xf>
    <xf numFmtId="0" fontId="0" fillId="0" borderId="0" xfId="59" applyFont="1">
      <alignment/>
      <protection/>
    </xf>
    <xf numFmtId="14" fontId="0" fillId="0" borderId="0" xfId="59" applyNumberFormat="1" applyFont="1" applyFill="1">
      <alignment/>
      <protection/>
    </xf>
    <xf numFmtId="4" fontId="0" fillId="0" borderId="0" xfId="59" applyNumberFormat="1" applyFont="1" applyFill="1">
      <alignment/>
      <protection/>
    </xf>
    <xf numFmtId="0" fontId="0" fillId="0" borderId="0" xfId="59" applyFont="1" applyFill="1">
      <alignment/>
      <protection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0" fillId="0" borderId="0" xfId="60" applyNumberFormat="1">
      <alignment/>
      <protection/>
    </xf>
    <xf numFmtId="0" fontId="0" fillId="0" borderId="0" xfId="60">
      <alignment/>
      <protection/>
    </xf>
    <xf numFmtId="4" fontId="0" fillId="0" borderId="0" xfId="60" applyNumberFormat="1">
      <alignment/>
      <protection/>
    </xf>
    <xf numFmtId="14" fontId="0" fillId="0" borderId="0" xfId="60" applyNumberFormat="1">
      <alignment/>
      <protection/>
    </xf>
    <xf numFmtId="173" fontId="17" fillId="0" borderId="0" xfId="0" applyNumberFormat="1" applyFont="1" applyAlignment="1">
      <alignment/>
    </xf>
    <xf numFmtId="49" fontId="0" fillId="0" borderId="0" xfId="60" applyNumberFormat="1" applyFont="1">
      <alignment/>
      <protection/>
    </xf>
    <xf numFmtId="14" fontId="0" fillId="0" borderId="0" xfId="60" applyNumberFormat="1" applyFont="1">
      <alignment/>
      <protection/>
    </xf>
    <xf numFmtId="4" fontId="0" fillId="0" borderId="0" xfId="60" applyNumberFormat="1" applyFont="1">
      <alignment/>
      <protection/>
    </xf>
    <xf numFmtId="49" fontId="0" fillId="0" borderId="0" xfId="60" applyNumberFormat="1" applyFont="1" applyAlignment="1">
      <alignment horizontal="right"/>
      <protection/>
    </xf>
    <xf numFmtId="2" fontId="9" fillId="0" borderId="19" xfId="0" applyNumberFormat="1" applyFont="1" applyBorder="1" applyAlignment="1">
      <alignment horizontal="center"/>
    </xf>
    <xf numFmtId="0" fontId="12" fillId="44" borderId="48" xfId="0" applyFont="1" applyFill="1" applyBorder="1" applyAlignment="1">
      <alignment horizontal="center"/>
    </xf>
    <xf numFmtId="0" fontId="12" fillId="44" borderId="49" xfId="0" applyFont="1" applyFill="1" applyBorder="1" applyAlignment="1">
      <alignment horizontal="center"/>
    </xf>
    <xf numFmtId="0" fontId="12" fillId="44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/>
    </xf>
    <xf numFmtId="0" fontId="4" fillId="37" borderId="5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4" fillId="45" borderId="57" xfId="0" applyFont="1" applyFill="1" applyBorder="1" applyAlignment="1">
      <alignment horizontal="right"/>
    </xf>
    <xf numFmtId="0" fontId="4" fillId="45" borderId="58" xfId="0" applyFont="1" applyFill="1" applyBorder="1" applyAlignment="1">
      <alignment horizontal="right"/>
    </xf>
    <xf numFmtId="0" fontId="4" fillId="45" borderId="59" xfId="0" applyFont="1" applyFill="1" applyBorder="1" applyAlignment="1">
      <alignment horizontal="right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60" xfId="0" applyFont="1" applyFill="1" applyBorder="1" applyAlignment="1">
      <alignment horizontal="right"/>
    </xf>
    <xf numFmtId="0" fontId="4" fillId="38" borderId="61" xfId="0" applyFont="1" applyFill="1" applyBorder="1" applyAlignment="1">
      <alignment horizontal="right"/>
    </xf>
    <xf numFmtId="0" fontId="4" fillId="37" borderId="6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4" fillId="45" borderId="63" xfId="0" applyFont="1" applyFill="1" applyBorder="1" applyAlignment="1">
      <alignment horizontal="right"/>
    </xf>
    <xf numFmtId="0" fontId="4" fillId="45" borderId="34" xfId="0" applyFont="1" applyFill="1" applyBorder="1" applyAlignment="1">
      <alignment horizontal="right"/>
    </xf>
    <xf numFmtId="0" fontId="4" fillId="45" borderId="64" xfId="0" applyFont="1" applyFill="1" applyBorder="1" applyAlignment="1">
      <alignment horizontal="right"/>
    </xf>
    <xf numFmtId="0" fontId="4" fillId="38" borderId="65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38" borderId="66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67" xfId="0" applyFont="1" applyFill="1" applyBorder="1" applyAlignment="1">
      <alignment horizontal="center" wrapText="1"/>
    </xf>
    <xf numFmtId="0" fontId="4" fillId="37" borderId="62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5" borderId="69" xfId="0" applyFont="1" applyFill="1" applyBorder="1" applyAlignment="1">
      <alignment horizontal="right"/>
    </xf>
    <xf numFmtId="0" fontId="4" fillId="45" borderId="32" xfId="0" applyFont="1" applyFill="1" applyBorder="1" applyAlignment="1">
      <alignment horizontal="right"/>
    </xf>
    <xf numFmtId="0" fontId="4" fillId="45" borderId="30" xfId="0" applyFont="1" applyFill="1" applyBorder="1" applyAlignment="1">
      <alignment horizontal="right"/>
    </xf>
    <xf numFmtId="0" fontId="2" fillId="40" borderId="70" xfId="0" applyFont="1" applyFill="1" applyBorder="1" applyAlignment="1">
      <alignment horizontal="left" vertical="top" wrapText="1"/>
    </xf>
    <xf numFmtId="0" fontId="2" fillId="40" borderId="71" xfId="0" applyFont="1" applyFill="1" applyBorder="1" applyAlignment="1">
      <alignment horizontal="left" vertical="top" wrapText="1"/>
    </xf>
    <xf numFmtId="0" fontId="4" fillId="45" borderId="72" xfId="0" applyFont="1" applyFill="1" applyBorder="1" applyAlignment="1">
      <alignment horizontal="right"/>
    </xf>
    <xf numFmtId="0" fontId="4" fillId="45" borderId="73" xfId="0" applyFont="1" applyFill="1" applyBorder="1" applyAlignment="1">
      <alignment horizontal="right"/>
    </xf>
    <xf numFmtId="0" fontId="4" fillId="45" borderId="74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3" xfId="0" applyFont="1" applyBorder="1" applyAlignment="1">
      <alignment/>
    </xf>
    <xf numFmtId="0" fontId="4" fillId="37" borderId="75" xfId="0" applyFont="1" applyFill="1" applyBorder="1" applyAlignment="1">
      <alignment horizontal="center" wrapText="1"/>
    </xf>
    <xf numFmtId="0" fontId="2" fillId="0" borderId="76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</cellXfs>
  <cellStyles count="52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_PAGADO" xfId="58"/>
    <cellStyle name="Normala_xehet1" xfId="59"/>
    <cellStyle name="Normala_xehet32" xfId="60"/>
    <cellStyle name="Oharra" xfId="61"/>
    <cellStyle name="Ohar-testua" xfId="62"/>
    <cellStyle name="Ondo" xfId="63"/>
    <cellStyle name="Sarrera" xfId="64"/>
    <cellStyle name="Titulua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10">
      <selection activeCell="D34" sqref="D34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68">
        <f>SUMSQ(D27:I27,D39:F40,D59:I59,D72:F72,D82:F83,E91:H91)</f>
        <v>9</v>
      </c>
      <c r="B1" s="168"/>
    </row>
    <row r="2" spans="1:9" s="42" customFormat="1" ht="15.75" customHeight="1">
      <c r="A2" s="169" t="s">
        <v>21</v>
      </c>
      <c r="B2" s="170"/>
      <c r="C2" s="170"/>
      <c r="D2" s="170"/>
      <c r="E2" s="170"/>
      <c r="F2" s="170"/>
      <c r="G2" s="170"/>
      <c r="H2" s="170"/>
      <c r="I2" s="171"/>
    </row>
    <row r="3" spans="1:9" s="42" customFormat="1" ht="15.75" customHeight="1">
      <c r="A3" s="43"/>
      <c r="B3" s="44"/>
      <c r="C3" s="45" t="s">
        <v>4</v>
      </c>
      <c r="D3" s="172"/>
      <c r="E3" s="172"/>
      <c r="F3" s="172"/>
      <c r="G3" s="172"/>
      <c r="H3" s="44"/>
      <c r="I3" s="46"/>
    </row>
    <row r="4" spans="1:9" s="42" customFormat="1" ht="15.75" customHeight="1">
      <c r="A4" s="43"/>
      <c r="B4" s="44"/>
      <c r="C4" s="47" t="s">
        <v>5</v>
      </c>
      <c r="D4" s="48"/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/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173" t="s">
        <v>22</v>
      </c>
      <c r="B13" s="174"/>
      <c r="C13" s="175"/>
      <c r="D13" s="179" t="s">
        <v>33</v>
      </c>
      <c r="E13" s="180"/>
      <c r="F13" s="181" t="s">
        <v>14</v>
      </c>
      <c r="G13" s="182"/>
      <c r="H13" s="182"/>
      <c r="I13" s="183"/>
    </row>
    <row r="14" spans="1:9" ht="12.75" customHeight="1">
      <c r="A14" s="176"/>
      <c r="B14" s="177"/>
      <c r="C14" s="178"/>
      <c r="D14" s="184" t="s">
        <v>46</v>
      </c>
      <c r="E14" s="185"/>
      <c r="F14" s="186" t="s">
        <v>35</v>
      </c>
      <c r="G14" s="187"/>
      <c r="H14" s="187" t="s">
        <v>36</v>
      </c>
      <c r="I14" s="188"/>
    </row>
    <row r="15" spans="1:9" ht="22.5">
      <c r="A15" s="176"/>
      <c r="B15" s="177"/>
      <c r="C15" s="178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194" t="s">
        <v>18</v>
      </c>
      <c r="B16" s="195"/>
      <c r="C16" s="195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156</v>
      </c>
      <c r="G16" s="24">
        <f>SUM(G17:G21)</f>
        <v>104093.84000000005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4</v>
      </c>
      <c r="G17" s="26">
        <f>SUMIF(xehet1!V:V,120,xehet1!D:D)</f>
        <v>2530.4700000000003</v>
      </c>
      <c r="H17" s="27">
        <f>COUNTIF(xehet1!V:V,220)</f>
        <v>0</v>
      </c>
      <c r="I17" s="85">
        <f>SUMIF(xehet1!V:V,220,xehet1!D:D)</f>
        <v>0</v>
      </c>
    </row>
    <row r="18" spans="1:9" ht="12.75" customHeight="1">
      <c r="A18" s="98"/>
      <c r="B18" s="99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11</v>
      </c>
      <c r="G18" s="26">
        <f>SUMIF(xehet1!V:V,121,xehet1!D:D)</f>
        <v>1879.96</v>
      </c>
      <c r="H18" s="27">
        <f>COUNTIF(xehet1!V:V,221)</f>
        <v>0</v>
      </c>
      <c r="I18" s="85">
        <f>SUMIF(xehet1!V:V,221,xehet1!D:D)</f>
        <v>0</v>
      </c>
    </row>
    <row r="19" spans="1:9" ht="12.75" customHeight="1">
      <c r="A19" s="98"/>
      <c r="B19" s="99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11</v>
      </c>
      <c r="G19" s="26">
        <f>SUMIF(xehet1!V:V,122,xehet1!D:D)</f>
        <v>1851.44</v>
      </c>
      <c r="H19" s="27">
        <f>COUNTIF(xehet1!V:V,222)</f>
        <v>0</v>
      </c>
      <c r="I19" s="85">
        <f>SUMIF(xehet1!V:V,222,xehet1!D:D)</f>
        <v>0</v>
      </c>
    </row>
    <row r="20" spans="1:9" ht="12.75" customHeight="1">
      <c r="A20" s="98"/>
      <c r="B20" s="99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8"/>
      <c r="B21" s="99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130</v>
      </c>
      <c r="G21" s="26">
        <f>SUMIF(xehet1!V:V,129,xehet1!D:D)</f>
        <v>97831.97000000006</v>
      </c>
      <c r="H21" s="27">
        <f>COUNTIF(xehet1!V:V,229)</f>
        <v>0</v>
      </c>
      <c r="I21" s="85">
        <f>SUMIF(xehet1!V:V,229,xehet1!D:D)</f>
        <v>0</v>
      </c>
    </row>
    <row r="22" spans="1:9" ht="12.75" customHeight="1">
      <c r="A22" s="194" t="s">
        <v>10</v>
      </c>
      <c r="B22" s="195"/>
      <c r="C22" s="195"/>
      <c r="D22" s="64">
        <f aca="true" t="shared" si="0" ref="D22:I22">D23</f>
        <v>0</v>
      </c>
      <c r="E22" s="65">
        <f t="shared" si="0"/>
        <v>0</v>
      </c>
      <c r="F22" s="62">
        <f t="shared" si="0"/>
        <v>1</v>
      </c>
      <c r="G22" s="29">
        <f t="shared" si="0"/>
        <v>293.95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26</v>
      </c>
      <c r="C23" s="101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1</v>
      </c>
      <c r="G23" s="26">
        <f>SUMIF(xehet1!V:V,169,xehet1!D:D)</f>
        <v>293.95</v>
      </c>
      <c r="H23" s="27">
        <f>COUNTIF(xehet1!V:V,269)</f>
        <v>0</v>
      </c>
      <c r="I23" s="85">
        <f>SUMIF(xehet1!V:V,269,xehet1!D:D)</f>
        <v>0</v>
      </c>
    </row>
    <row r="24" spans="1:9" ht="12.75" customHeight="1">
      <c r="A24" s="194" t="s">
        <v>66</v>
      </c>
      <c r="B24" s="195"/>
      <c r="C24" s="195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89" t="s">
        <v>25</v>
      </c>
      <c r="C25" s="189"/>
      <c r="D25" s="106"/>
      <c r="E25" s="107"/>
      <c r="F25" s="108"/>
      <c r="G25" s="109"/>
      <c r="H25" s="110"/>
      <c r="I25" s="111"/>
    </row>
    <row r="26" spans="1:9" ht="12.75" customHeight="1" thickBot="1">
      <c r="A26" s="196" t="s">
        <v>11</v>
      </c>
      <c r="B26" s="197"/>
      <c r="C26" s="197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157</v>
      </c>
      <c r="G26" s="78">
        <f>G16+G22+G24</f>
        <v>104387.79000000005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>
        <f>COUNTIF(xehet1!P:P,"&lt;=30")-F26+F25</f>
        <v>0</v>
      </c>
      <c r="G27" s="72">
        <f>SUMIF(xehet1!P:P,"&lt;=30",xehet1!D:D)-G26+G25</f>
        <v>0</v>
      </c>
      <c r="H27" s="72">
        <f>COUNTIF(xehet1!P:P,"&gt;30")-H26+H25</f>
        <v>0</v>
      </c>
      <c r="I27" s="72">
        <f>SUMIF(xehet1!P:P,"&gt;30",xehet1!D:D)-I26+I25</f>
        <v>0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173" t="s">
        <v>56</v>
      </c>
      <c r="B31" s="174"/>
      <c r="C31" s="198"/>
      <c r="D31" s="200" t="s">
        <v>57</v>
      </c>
      <c r="E31" s="201"/>
      <c r="F31" s="201"/>
      <c r="G31" s="202"/>
    </row>
    <row r="32" spans="1:7" ht="12.75" customHeight="1">
      <c r="A32" s="176"/>
      <c r="B32" s="177"/>
      <c r="C32" s="199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8"/>
      <c r="B33" s="203" t="s">
        <v>39</v>
      </c>
      <c r="C33" s="204"/>
      <c r="D33" s="70">
        <f>COUNTIF(xehet1!P:P,"&lt;=30")+F25</f>
        <v>157</v>
      </c>
      <c r="E33" s="32">
        <f>IF($D$38=0,0,D33*100/$D$38)</f>
        <v>100</v>
      </c>
      <c r="F33" s="32">
        <f>SUMIF(xehet1!P:P,"&lt;=30",xehet1!D:D)+G25</f>
        <v>104387.79000000005</v>
      </c>
      <c r="G33" s="112">
        <f>IF($F$38=0,0,F33*100/$F$38)</f>
        <v>100</v>
      </c>
    </row>
    <row r="34" spans="1:7" ht="12.75" customHeight="1">
      <c r="A34" s="98"/>
      <c r="B34" s="205" t="s">
        <v>60</v>
      </c>
      <c r="C34" s="206"/>
      <c r="D34" s="71">
        <f>COUNTIF(xehet1!P:P,"&lt;=40")-D33+F25+IF(AND(E25&gt;30,E25&lt;=40),H25)</f>
        <v>0</v>
      </c>
      <c r="E34" s="26">
        <f>IF($D$38=0,0,D34*100/$D$38)</f>
        <v>0</v>
      </c>
      <c r="F34" s="26">
        <f>SUMIF(xehet1!P:P,"&lt;=40",xehet1!D:D)-F33+G25+IF(AND(E25&gt;30,E25&lt;=40),I25)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61</v>
      </c>
      <c r="C35" s="103"/>
      <c r="D35" s="71">
        <f>COUNTIF(xehet1!P:P,"&lt;=50")-SUM(D33:D34)+F25+IF(E25&lt;=50,H25)</f>
        <v>0</v>
      </c>
      <c r="E35" s="26">
        <f>IF($D$38=0,0,D35*100/$D$38)</f>
        <v>0</v>
      </c>
      <c r="F35" s="26">
        <f>SUMIF(xehet1!P:P,"&lt;=50",xehet1!D:D)-SUM(F33:F34)+G25+IF(E25&lt;=50,I25)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203" t="s">
        <v>62</v>
      </c>
      <c r="C36" s="204"/>
      <c r="D36" s="71">
        <f>COUNTIF(xehet1!P:P,"&lt;=60")-SUM(D33:D35)+F25+IF(E25&lt;=60,H25)</f>
        <v>0</v>
      </c>
      <c r="E36" s="26">
        <f>IF($D$38=0,0,D36*100/$D$38)</f>
        <v>0</v>
      </c>
      <c r="F36" s="26">
        <f>SUMIF(xehet1!P:P,"&lt;=60",xehet1!D:D)-SUM(F33:F35)+G25+IF(E25&lt;=60,I25)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89" t="s">
        <v>63</v>
      </c>
      <c r="C37" s="190"/>
      <c r="D37" s="94">
        <f>COUNTIF(xehet1!P:P,"&gt;60")+IF(E25&gt;60,H25)</f>
        <v>0</v>
      </c>
      <c r="E37" s="26">
        <f>IF($D$38=0,0,D37*100/$D$38)</f>
        <v>0</v>
      </c>
      <c r="F37" s="30">
        <f>SUMIF(xehet1!P:P,"&gt;60",xehet1!D:D)+IF(E25&gt;60,I25)</f>
        <v>0</v>
      </c>
      <c r="G37" s="85">
        <f>IF($F$38=0,0,F37*100/$F$38)</f>
        <v>0</v>
      </c>
    </row>
    <row r="38" spans="1:7" ht="12.75" customHeight="1" thickBot="1">
      <c r="A38" s="191" t="s">
        <v>11</v>
      </c>
      <c r="B38" s="192"/>
      <c r="C38" s="193"/>
      <c r="D38" s="80">
        <f>SUM(D33:D37)</f>
        <v>157</v>
      </c>
      <c r="E38" s="81">
        <f>SUM(E33:E37)</f>
        <v>100</v>
      </c>
      <c r="F38" s="81">
        <f>SUM(F33:F37)</f>
        <v>104387.79000000005</v>
      </c>
      <c r="G38" s="82">
        <f>SUM(G33:G37)</f>
        <v>100</v>
      </c>
    </row>
    <row r="39" spans="1:6" ht="12.75" customHeight="1">
      <c r="A39" s="33"/>
      <c r="B39" s="33"/>
      <c r="C39" s="33"/>
      <c r="D39" s="72">
        <f>COUNT(xehet1!D:D)-D38+F25+H25</f>
        <v>0</v>
      </c>
      <c r="E39" s="72"/>
      <c r="F39" s="72">
        <f>SUM(xehet1!D:D)-F38+G25+I25</f>
        <v>0</v>
      </c>
    </row>
    <row r="40" spans="1:6" ht="12.75" customHeight="1">
      <c r="A40" s="33"/>
      <c r="B40" s="33"/>
      <c r="C40" s="33"/>
      <c r="D40" s="72">
        <f>F26+H26-D38</f>
        <v>0</v>
      </c>
      <c r="E40" s="72"/>
      <c r="F40" s="72">
        <f>G26+I26-F38</f>
        <v>0</v>
      </c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73" t="s">
        <v>32</v>
      </c>
      <c r="B45" s="174"/>
      <c r="C45" s="175"/>
      <c r="D45" s="179" t="s">
        <v>43</v>
      </c>
      <c r="E45" s="180"/>
      <c r="F45" s="181" t="s">
        <v>16</v>
      </c>
      <c r="G45" s="182"/>
      <c r="H45" s="182"/>
      <c r="I45" s="183"/>
    </row>
    <row r="46" spans="1:9" ht="12.75" customHeight="1">
      <c r="A46" s="176"/>
      <c r="B46" s="177"/>
      <c r="C46" s="178"/>
      <c r="D46" s="184" t="s">
        <v>46</v>
      </c>
      <c r="E46" s="185"/>
      <c r="F46" s="186" t="s">
        <v>35</v>
      </c>
      <c r="G46" s="187"/>
      <c r="H46" s="187" t="s">
        <v>36</v>
      </c>
      <c r="I46" s="188"/>
    </row>
    <row r="47" spans="1:9" ht="22.5">
      <c r="A47" s="176"/>
      <c r="B47" s="177"/>
      <c r="C47" s="178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210" t="s">
        <v>18</v>
      </c>
      <c r="B48" s="211"/>
      <c r="C48" s="212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8"/>
      <c r="B50" s="99" t="s">
        <v>1</v>
      </c>
      <c r="C50" s="19" t="s">
        <v>89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8"/>
      <c r="B51" s="99" t="s">
        <v>2</v>
      </c>
      <c r="C51" s="19" t="s">
        <v>90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8"/>
      <c r="B52" s="99" t="s">
        <v>3</v>
      </c>
      <c r="C52" s="19" t="s">
        <v>91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8"/>
      <c r="B53" s="99" t="s">
        <v>104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194" t="s">
        <v>10</v>
      </c>
      <c r="B54" s="195"/>
      <c r="C54" s="195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213" t="s">
        <v>67</v>
      </c>
      <c r="B56" s="214"/>
      <c r="C56" s="215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16" t="s">
        <v>20</v>
      </c>
      <c r="C57" s="217"/>
      <c r="D57" s="106"/>
      <c r="E57" s="107"/>
      <c r="F57" s="108"/>
      <c r="G57" s="109"/>
      <c r="H57" s="110"/>
      <c r="I57" s="111"/>
    </row>
    <row r="58" spans="1:9" ht="12.75" customHeight="1" thickBot="1">
      <c r="A58" s="207" t="s">
        <v>11</v>
      </c>
      <c r="B58" s="208"/>
      <c r="C58" s="209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173" t="s">
        <v>31</v>
      </c>
      <c r="B67" s="174"/>
      <c r="C67" s="198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5"/>
      <c r="B68" s="220" t="s">
        <v>18</v>
      </c>
      <c r="C68" s="221"/>
      <c r="D68" s="67">
        <f>IF(E68=0,0,SUMIF(xehet32!T:T,22,xehet32!R:R)/SUMIF(xehet32!T:T,22,xehet32!D:D))</f>
        <v>0</v>
      </c>
      <c r="E68" s="37">
        <f>COUNTIF(xehet32!T:T,22)</f>
        <v>0</v>
      </c>
      <c r="F68" s="85">
        <f>SUMIF(xehet32!T:T,22,xehet32!D:D)</f>
        <v>0</v>
      </c>
    </row>
    <row r="69" spans="1:6" ht="12.75" customHeight="1">
      <c r="A69" s="98"/>
      <c r="B69" s="205" t="s">
        <v>10</v>
      </c>
      <c r="C69" s="206"/>
      <c r="D69" s="67">
        <f>IF(E69=0,0,SUMIF(xehet32!T:T,26,xehet32!R:R)/SUMIF(xehet32!T:T,26,xehet32!D:D))</f>
        <v>0</v>
      </c>
      <c r="E69" s="37">
        <f>COUNTIF(xehet32!T:T,26)</f>
        <v>0</v>
      </c>
      <c r="F69" s="85">
        <f>SUMIF(xehet32!T:T,26,xehet32!D:D)</f>
        <v>0</v>
      </c>
    </row>
    <row r="70" spans="1:6" ht="12.75" customHeight="1">
      <c r="A70" s="104"/>
      <c r="B70" s="189" t="s">
        <v>20</v>
      </c>
      <c r="C70" s="190"/>
      <c r="D70" s="67">
        <f>IF(E70=0,0,SUMIF(xehet32!T:T,29,xehet32!R:R)/SUMIF(xehet32!T:T,29,xehet32!D:D))</f>
        <v>0</v>
      </c>
      <c r="E70" s="37">
        <f>COUNTIF(xehet32!T:T,29)</f>
        <v>0</v>
      </c>
      <c r="F70" s="85">
        <f>SUMIF(xehet32!T:T,29,xehet32!D:D)</f>
        <v>0</v>
      </c>
    </row>
    <row r="71" spans="1:6" ht="12.75" customHeight="1" thickBot="1">
      <c r="A71" s="222" t="s">
        <v>11</v>
      </c>
      <c r="B71" s="223"/>
      <c r="C71" s="224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IF(D73=0,0,(SUMIF(xehet32!O:O,"&gt;90",xehet32!R:R)/SUMIF(xehet32!O:O,"&gt;90",xehet32!D:D)))-IF(D71="",0,D71)</f>
        <v>0</v>
      </c>
      <c r="E72" s="72">
        <f>COUNTIF(xehet32!O:O,"&gt;90")-E71</f>
        <v>0</v>
      </c>
      <c r="F72" s="72">
        <f>SUMIF(xehet32!O:O,"&gt;90",xehet32!D:D)-F71</f>
        <v>0</v>
      </c>
    </row>
    <row r="73" spans="4:6" ht="12.75" customHeight="1">
      <c r="D73" s="113">
        <f>SUMIF(xehet32!O:O,"&gt;90",xehet32!D:D)</f>
        <v>0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173" t="s">
        <v>48</v>
      </c>
      <c r="B75" s="174"/>
      <c r="C75" s="198"/>
      <c r="D75" s="200" t="s">
        <v>65</v>
      </c>
      <c r="E75" s="201"/>
      <c r="F75" s="201"/>
      <c r="G75" s="202"/>
    </row>
    <row r="76" spans="1:7" ht="12.75" customHeight="1">
      <c r="A76" s="176"/>
      <c r="B76" s="177"/>
      <c r="C76" s="199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5"/>
      <c r="B77" s="220" t="s">
        <v>39</v>
      </c>
      <c r="C77" s="221"/>
      <c r="D77" s="39">
        <f>COUNTIF(xehet32!O:O,"&lt;=30")</f>
        <v>40</v>
      </c>
      <c r="E77" s="40">
        <f>IF($D$81=0,0,D77*100/$D$81)</f>
        <v>86.95652173913044</v>
      </c>
      <c r="F77" s="26">
        <f>SUMIF(xehet32!O:O,"&lt;=30",xehet32!D:D)</f>
        <v>34168.22999999999</v>
      </c>
      <c r="G77" s="88">
        <f>IF($F$81=0,0,F77*100/$F$81)</f>
        <v>90.75366898082359</v>
      </c>
    </row>
    <row r="78" spans="1:7" ht="12.75" customHeight="1">
      <c r="A78" s="98"/>
      <c r="B78" s="205" t="s">
        <v>40</v>
      </c>
      <c r="C78" s="206"/>
      <c r="D78" s="39">
        <f>COUNTIF(xehet32!O:O,"&lt;=60")-D77</f>
        <v>1</v>
      </c>
      <c r="E78" s="40">
        <f>IF($D$81=0,0,D78*100/$D$81)</f>
        <v>2.1739130434782608</v>
      </c>
      <c r="F78" s="26">
        <f>SUMIF(xehet32!O:O,"&lt;=60",xehet32!D:D)-F77</f>
        <v>180.29000000000087</v>
      </c>
      <c r="G78" s="88">
        <f>IF($F$81=0,0,F78*100/$F$81)</f>
        <v>0.47886527866830586</v>
      </c>
    </row>
    <row r="79" spans="1:7" ht="12.75" customHeight="1">
      <c r="A79" s="98"/>
      <c r="B79" s="203" t="s">
        <v>41</v>
      </c>
      <c r="C79" s="204"/>
      <c r="D79" s="39">
        <f>COUNTIF(xehet32!O:O,"&lt;=90")-SUM(D77:D78)</f>
        <v>5</v>
      </c>
      <c r="E79" s="40">
        <f>IF($D$81=0,0,D79*100/$D$81)</f>
        <v>10.869565217391305</v>
      </c>
      <c r="F79" s="26">
        <f>SUMIF(xehet32!O:O,"&lt;=90",xehet32!D:D)-SUM(F77:F78)</f>
        <v>3300.9000000000087</v>
      </c>
      <c r="G79" s="88">
        <f>IF($F$81=0,0,F79*100/$F$81)</f>
        <v>8.767465740508111</v>
      </c>
    </row>
    <row r="80" spans="1:7" ht="12.75" customHeight="1">
      <c r="A80" s="98"/>
      <c r="B80" s="203" t="s">
        <v>42</v>
      </c>
      <c r="C80" s="204"/>
      <c r="D80" s="39">
        <f>COUNTIF(xehet32!O:O,"&gt;90")</f>
        <v>0</v>
      </c>
      <c r="E80" s="40">
        <f>IF($D$81=0,0,D80*100/$D$81)</f>
        <v>0</v>
      </c>
      <c r="F80" s="26">
        <f>SUMIF(xehet32!O:O,"&gt;90",xehet32!D:D)</f>
        <v>0</v>
      </c>
      <c r="G80" s="88">
        <f>IF($F$81=0,0,F80*100/$F$81)</f>
        <v>0</v>
      </c>
    </row>
    <row r="81" spans="1:7" ht="12.75" customHeight="1" thickBot="1">
      <c r="A81" s="227" t="s">
        <v>11</v>
      </c>
      <c r="B81" s="228"/>
      <c r="C81" s="229"/>
      <c r="D81" s="77">
        <f>SUM(D77:D80)</f>
        <v>46</v>
      </c>
      <c r="E81" s="89">
        <f>SUM(E77:E80)</f>
        <v>100</v>
      </c>
      <c r="F81" s="78">
        <f>SUM(F77:F80)</f>
        <v>37649.42</v>
      </c>
      <c r="G81" s="90">
        <f>SUM(G77:G80)</f>
        <v>100.00000000000001</v>
      </c>
    </row>
    <row r="82" spans="1:7" ht="12.75" customHeight="1">
      <c r="A82" s="33"/>
      <c r="B82" s="33"/>
      <c r="C82" s="33"/>
      <c r="D82" s="72">
        <f>COUNT(xehet32!D:D)-D81</f>
        <v>-3</v>
      </c>
      <c r="E82" s="72"/>
      <c r="F82" s="72">
        <f>SUM(xehet32!D:D)-F81</f>
        <v>0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>
        <f>F71-F80</f>
        <v>0</v>
      </c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230" t="s">
        <v>51</v>
      </c>
      <c r="B88" s="231"/>
      <c r="C88" s="232"/>
      <c r="D88" s="218" t="s">
        <v>53</v>
      </c>
      <c r="E88" s="219"/>
      <c r="F88" s="218" t="s">
        <v>54</v>
      </c>
      <c r="G88" s="219"/>
      <c r="H88" s="236" t="s">
        <v>50</v>
      </c>
    </row>
    <row r="89" spans="1:8" ht="12.75" customHeight="1">
      <c r="A89" s="233"/>
      <c r="B89" s="234"/>
      <c r="C89" s="235"/>
      <c r="D89" s="68" t="s">
        <v>52</v>
      </c>
      <c r="E89" s="69" t="s">
        <v>44</v>
      </c>
      <c r="F89" s="68" t="s">
        <v>52</v>
      </c>
      <c r="G89" s="69" t="s">
        <v>44</v>
      </c>
      <c r="H89" s="237"/>
    </row>
    <row r="90" spans="1:8" ht="12.75" customHeight="1" thickBot="1">
      <c r="A90" s="238">
        <f>D3</f>
        <v>0</v>
      </c>
      <c r="B90" s="239"/>
      <c r="C90" s="240"/>
      <c r="D90" s="91">
        <f>IF((SUM(xehet1!D:D)+G24+I24)=0,0,(SUM(xehet1!U:U)+D24*(G24+I24))/(SUM(xehet1!D:D)+G24+I24))</f>
        <v>-25.276697399188162</v>
      </c>
      <c r="E90" s="92">
        <f>SUM(xehet1!D:D)+G24+I24</f>
        <v>104387.79000000005</v>
      </c>
      <c r="F90" s="91">
        <f>IF((SUM(xehet2!D:D)+SUM(xehet32!D:D)+G56+I56)=0,0,(SUM(xehet2!U:U)+SUM(xehet32!S:S)+D56*(G56+I56))/(SUM(xehet2!D:D)+SUM(xehet32!D:D)+G56+I56))</f>
        <v>-29.619028128454577</v>
      </c>
      <c r="G90" s="92">
        <f>SUM(xehet2!D:D)+SUM(xehet32!D:D)+G56+I56</f>
        <v>37649.42</v>
      </c>
      <c r="H90" s="93">
        <f>IF(E90=0,F90,IF(G90=0,D90,(D90*E90+F90*G90)/(E90+G90)))</f>
        <v>-26.427707288815377</v>
      </c>
    </row>
    <row r="91" spans="4:8" ht="12.75" customHeight="1">
      <c r="D91" s="31"/>
      <c r="E91" s="72">
        <f>E90-F38</f>
        <v>0</v>
      </c>
      <c r="F91" s="72"/>
      <c r="G91" s="72">
        <f>G90-G58-I58-F81</f>
        <v>0</v>
      </c>
      <c r="H91" s="72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4">
        <f>(SUM(xehet1!D:D)+SUM(xehet2!D:D)+SUM(xehet32!D:D)+G24+I24+G56+I56)</f>
        <v>142037.21000000005</v>
      </c>
    </row>
    <row r="93" spans="2:8" ht="43.5" customHeight="1" thickBot="1">
      <c r="B93" s="225"/>
      <c r="C93" s="226"/>
      <c r="E93" s="34"/>
      <c r="F93" s="34"/>
      <c r="G93" s="34"/>
      <c r="H93" s="34"/>
    </row>
  </sheetData>
  <sheetProtection/>
  <mergeCells count="50">
    <mergeCell ref="H88:H89"/>
    <mergeCell ref="A90:C90"/>
    <mergeCell ref="D88:E88"/>
    <mergeCell ref="B68:C68"/>
    <mergeCell ref="B69:C69"/>
    <mergeCell ref="B70:C70"/>
    <mergeCell ref="A71:C71"/>
    <mergeCell ref="B93:C93"/>
    <mergeCell ref="A81:C81"/>
    <mergeCell ref="A88:C89"/>
    <mergeCell ref="A75:C76"/>
    <mergeCell ref="D75:G75"/>
    <mergeCell ref="F88:G88"/>
    <mergeCell ref="B77:C77"/>
    <mergeCell ref="B78:C78"/>
    <mergeCell ref="B79:C79"/>
    <mergeCell ref="B80:C80"/>
    <mergeCell ref="A58:C58"/>
    <mergeCell ref="A67:C67"/>
    <mergeCell ref="A45:C47"/>
    <mergeCell ref="D45:E45"/>
    <mergeCell ref="A48:C48"/>
    <mergeCell ref="A54:C54"/>
    <mergeCell ref="A56:C56"/>
    <mergeCell ref="B57:C57"/>
    <mergeCell ref="D31:G31"/>
    <mergeCell ref="B33:C33"/>
    <mergeCell ref="B34:C34"/>
    <mergeCell ref="B36:C36"/>
    <mergeCell ref="F45:I45"/>
    <mergeCell ref="D46:E46"/>
    <mergeCell ref="F46:G46"/>
    <mergeCell ref="H46:I4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169"/>
  <sheetViews>
    <sheetView zoomScalePageLayoutView="0" workbookViewId="0" topLeftCell="I1">
      <selection activeCell="P6" sqref="P6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17.00390625" style="128" bestFit="1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4" width="10.140625" style="14" bestFit="1" customWidth="1"/>
    <col min="15" max="15" width="7.140625" style="9" bestFit="1" customWidth="1"/>
    <col min="16" max="16" width="6.57421875" style="9" customWidth="1"/>
    <col min="17" max="17" width="6.28125" style="9" bestFit="1" customWidth="1"/>
    <col min="18" max="18" width="6.7109375" style="9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16384" width="9.140625" style="2" customWidth="1"/>
  </cols>
  <sheetData>
    <row r="2" spans="4:7" ht="11.25">
      <c r="D2" s="126" t="s">
        <v>102</v>
      </c>
      <c r="G2" s="131"/>
    </row>
    <row r="3" spans="1:10" ht="11.25">
      <c r="A3" s="3" t="s">
        <v>69</v>
      </c>
      <c r="B3" s="16"/>
      <c r="C3" s="129"/>
      <c r="D3" s="127" t="s">
        <v>103</v>
      </c>
      <c r="E3" s="4"/>
      <c r="F3" s="4"/>
      <c r="G3" s="4"/>
      <c r="H3" s="4"/>
      <c r="I3" s="4"/>
      <c r="J3" s="4"/>
    </row>
    <row r="4" spans="13:14" ht="11.25">
      <c r="M4" s="14" t="s">
        <v>105</v>
      </c>
      <c r="N4" s="14" t="s">
        <v>106</v>
      </c>
    </row>
    <row r="5" spans="1:22" ht="22.5">
      <c r="A5" s="5" t="s">
        <v>75</v>
      </c>
      <c r="B5" s="17" t="s">
        <v>70</v>
      </c>
      <c r="C5" s="130" t="s">
        <v>86</v>
      </c>
      <c r="D5" s="116" t="s">
        <v>44</v>
      </c>
      <c r="E5" s="5" t="s">
        <v>85</v>
      </c>
      <c r="F5" s="125" t="s">
        <v>71</v>
      </c>
      <c r="G5" s="125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0" t="s">
        <v>77</v>
      </c>
      <c r="P5" s="11" t="s">
        <v>78</v>
      </c>
      <c r="Q5" s="12" t="s">
        <v>79</v>
      </c>
      <c r="R5" s="13" t="s">
        <v>50</v>
      </c>
      <c r="S5" s="132" t="s">
        <v>94</v>
      </c>
      <c r="T5" s="8" t="s">
        <v>95</v>
      </c>
      <c r="U5" s="8" t="s">
        <v>96</v>
      </c>
      <c r="V5" s="134" t="s">
        <v>97</v>
      </c>
    </row>
    <row r="6" spans="1:22" s="144" customFormat="1" ht="12.75">
      <c r="A6" s="141" t="s">
        <v>109</v>
      </c>
      <c r="B6" s="142">
        <v>42124</v>
      </c>
      <c r="C6" s="141" t="s">
        <v>110</v>
      </c>
      <c r="D6" s="143">
        <v>3207.6</v>
      </c>
      <c r="F6" s="145"/>
      <c r="J6" s="146"/>
      <c r="K6" s="147">
        <v>42124</v>
      </c>
      <c r="L6" s="147"/>
      <c r="M6" s="142">
        <v>42124</v>
      </c>
      <c r="N6" s="142">
        <v>42124</v>
      </c>
      <c r="O6" s="148">
        <f>+M6-K6</f>
        <v>0</v>
      </c>
      <c r="P6" s="148">
        <f>+N6-M6</f>
        <v>0</v>
      </c>
      <c r="Q6" s="148">
        <f>+N6-K6</f>
        <v>0</v>
      </c>
      <c r="R6" s="148">
        <f>+Q6-30</f>
        <v>-30</v>
      </c>
      <c r="S6" s="144">
        <v>29</v>
      </c>
      <c r="T6" s="149">
        <f>+P6*D6</f>
        <v>0</v>
      </c>
      <c r="U6" s="149">
        <f>+R6*D6</f>
        <v>-96228</v>
      </c>
      <c r="V6" s="146">
        <f>IF(P6&gt;30,200+S6,100+S6)</f>
        <v>129</v>
      </c>
    </row>
    <row r="7" spans="1:22" s="144" customFormat="1" ht="12.75">
      <c r="A7" s="141" t="s">
        <v>111</v>
      </c>
      <c r="B7" s="142">
        <v>42153</v>
      </c>
      <c r="C7" s="141" t="s">
        <v>112</v>
      </c>
      <c r="D7" s="143">
        <v>3207.6</v>
      </c>
      <c r="J7" s="146"/>
      <c r="K7" s="147">
        <v>42153</v>
      </c>
      <c r="L7" s="147"/>
      <c r="M7" s="142">
        <v>42153</v>
      </c>
      <c r="N7" s="142">
        <v>42153</v>
      </c>
      <c r="O7" s="148">
        <f>+M7-K7</f>
        <v>0</v>
      </c>
      <c r="P7" s="148">
        <f>+N7-M7</f>
        <v>0</v>
      </c>
      <c r="Q7" s="148">
        <f aca="true" t="shared" si="0" ref="Q7:Q70">+N7-K7</f>
        <v>0</v>
      </c>
      <c r="R7" s="148">
        <f aca="true" t="shared" si="1" ref="R7:R70">+Q7-30</f>
        <v>-30</v>
      </c>
      <c r="S7" s="144">
        <v>29</v>
      </c>
      <c r="T7" s="149">
        <f aca="true" t="shared" si="2" ref="T7:T70">+P7*D7</f>
        <v>0</v>
      </c>
      <c r="U7" s="149">
        <f aca="true" t="shared" si="3" ref="U7:U70">+R7*D7</f>
        <v>-96228</v>
      </c>
      <c r="V7" s="146">
        <f aca="true" t="shared" si="4" ref="V7:V70">IF(P7&gt;30,200+S7,100+S7)</f>
        <v>129</v>
      </c>
    </row>
    <row r="8" spans="1:22" s="144" customFormat="1" ht="12.75">
      <c r="A8" s="141" t="s">
        <v>113</v>
      </c>
      <c r="B8" s="142">
        <v>42185</v>
      </c>
      <c r="C8" s="141" t="s">
        <v>114</v>
      </c>
      <c r="D8" s="143">
        <v>3207.6</v>
      </c>
      <c r="J8" s="146"/>
      <c r="K8" s="147">
        <v>42185</v>
      </c>
      <c r="L8" s="147"/>
      <c r="M8" s="142">
        <v>42185</v>
      </c>
      <c r="N8" s="142">
        <v>42185</v>
      </c>
      <c r="O8" s="148">
        <f aca="true" t="shared" si="5" ref="O8:O71">+M8-K8</f>
        <v>0</v>
      </c>
      <c r="P8" s="148">
        <f aca="true" t="shared" si="6" ref="P8:P71">+N8-M8</f>
        <v>0</v>
      </c>
      <c r="Q8" s="148">
        <f t="shared" si="0"/>
        <v>0</v>
      </c>
      <c r="R8" s="148">
        <f t="shared" si="1"/>
        <v>-30</v>
      </c>
      <c r="S8" s="144">
        <v>29</v>
      </c>
      <c r="T8" s="149">
        <f t="shared" si="2"/>
        <v>0</v>
      </c>
      <c r="U8" s="149">
        <f t="shared" si="3"/>
        <v>-96228</v>
      </c>
      <c r="V8" s="146">
        <f t="shared" si="4"/>
        <v>129</v>
      </c>
    </row>
    <row r="9" spans="1:22" s="144" customFormat="1" ht="12.75">
      <c r="A9" s="141" t="s">
        <v>115</v>
      </c>
      <c r="B9" s="142">
        <v>42153</v>
      </c>
      <c r="C9" s="141" t="s">
        <v>112</v>
      </c>
      <c r="D9" s="143">
        <v>2770.2</v>
      </c>
      <c r="K9" s="147">
        <v>42153</v>
      </c>
      <c r="L9" s="147"/>
      <c r="M9" s="142">
        <v>42153</v>
      </c>
      <c r="N9" s="142">
        <v>42153</v>
      </c>
      <c r="O9" s="148">
        <f t="shared" si="5"/>
        <v>0</v>
      </c>
      <c r="P9" s="148">
        <f t="shared" si="6"/>
        <v>0</v>
      </c>
      <c r="Q9" s="148">
        <f t="shared" si="0"/>
        <v>0</v>
      </c>
      <c r="R9" s="148">
        <f t="shared" si="1"/>
        <v>-30</v>
      </c>
      <c r="S9" s="144">
        <v>29</v>
      </c>
      <c r="T9" s="149">
        <f t="shared" si="2"/>
        <v>0</v>
      </c>
      <c r="U9" s="149">
        <f t="shared" si="3"/>
        <v>-83106</v>
      </c>
      <c r="V9" s="146">
        <f t="shared" si="4"/>
        <v>129</v>
      </c>
    </row>
    <row r="10" spans="1:22" s="144" customFormat="1" ht="12.75">
      <c r="A10" s="141" t="s">
        <v>116</v>
      </c>
      <c r="B10" s="142">
        <v>42124</v>
      </c>
      <c r="C10" s="141" t="s">
        <v>110</v>
      </c>
      <c r="D10" s="143">
        <v>2770.2</v>
      </c>
      <c r="K10" s="147">
        <v>42124</v>
      </c>
      <c r="L10" s="147"/>
      <c r="M10" s="142">
        <v>42124</v>
      </c>
      <c r="N10" s="142">
        <v>42124</v>
      </c>
      <c r="O10" s="148">
        <f t="shared" si="5"/>
        <v>0</v>
      </c>
      <c r="P10" s="148">
        <f t="shared" si="6"/>
        <v>0</v>
      </c>
      <c r="Q10" s="148">
        <f t="shared" si="0"/>
        <v>0</v>
      </c>
      <c r="R10" s="148">
        <f t="shared" si="1"/>
        <v>-30</v>
      </c>
      <c r="S10" s="144">
        <v>29</v>
      </c>
      <c r="T10" s="149">
        <f t="shared" si="2"/>
        <v>0</v>
      </c>
      <c r="U10" s="149">
        <f t="shared" si="3"/>
        <v>-83106</v>
      </c>
      <c r="V10" s="146">
        <f t="shared" si="4"/>
        <v>129</v>
      </c>
    </row>
    <row r="11" spans="1:22" s="144" customFormat="1" ht="12.75">
      <c r="A11" s="141" t="s">
        <v>117</v>
      </c>
      <c r="B11" s="142">
        <v>42185</v>
      </c>
      <c r="C11" s="141" t="s">
        <v>114</v>
      </c>
      <c r="D11" s="143">
        <v>2770.2</v>
      </c>
      <c r="K11" s="147">
        <v>42185</v>
      </c>
      <c r="L11" s="147"/>
      <c r="M11" s="142">
        <v>42185</v>
      </c>
      <c r="N11" s="142">
        <v>42185</v>
      </c>
      <c r="O11" s="148">
        <f t="shared" si="5"/>
        <v>0</v>
      </c>
      <c r="P11" s="148">
        <f t="shared" si="6"/>
        <v>0</v>
      </c>
      <c r="Q11" s="148">
        <f t="shared" si="0"/>
        <v>0</v>
      </c>
      <c r="R11" s="148">
        <f t="shared" si="1"/>
        <v>-30</v>
      </c>
      <c r="S11" s="144">
        <v>29</v>
      </c>
      <c r="T11" s="149">
        <f t="shared" si="2"/>
        <v>0</v>
      </c>
      <c r="U11" s="149">
        <f t="shared" si="3"/>
        <v>-83106</v>
      </c>
      <c r="V11" s="146">
        <f t="shared" si="4"/>
        <v>129</v>
      </c>
    </row>
    <row r="12" spans="1:22" s="144" customFormat="1" ht="12.75">
      <c r="A12" s="141" t="s">
        <v>118</v>
      </c>
      <c r="B12" s="142">
        <v>42098</v>
      </c>
      <c r="C12" s="141" t="s">
        <v>119</v>
      </c>
      <c r="D12" s="143">
        <v>151.31</v>
      </c>
      <c r="E12" s="150"/>
      <c r="F12" s="141"/>
      <c r="G12" s="151"/>
      <c r="H12" s="151"/>
      <c r="K12" s="147">
        <v>42098</v>
      </c>
      <c r="L12" s="147"/>
      <c r="M12" s="142">
        <v>42104</v>
      </c>
      <c r="N12" s="142">
        <v>42104</v>
      </c>
      <c r="O12" s="148">
        <f t="shared" si="5"/>
        <v>6</v>
      </c>
      <c r="P12" s="148">
        <f t="shared" si="6"/>
        <v>0</v>
      </c>
      <c r="Q12" s="148">
        <f t="shared" si="0"/>
        <v>6</v>
      </c>
      <c r="R12" s="148">
        <f t="shared" si="1"/>
        <v>-24</v>
      </c>
      <c r="S12" s="144">
        <v>29</v>
      </c>
      <c r="T12" s="149">
        <f t="shared" si="2"/>
        <v>0</v>
      </c>
      <c r="U12" s="149">
        <f t="shared" si="3"/>
        <v>-3631.44</v>
      </c>
      <c r="V12" s="146">
        <f t="shared" si="4"/>
        <v>129</v>
      </c>
    </row>
    <row r="13" spans="1:22" s="144" customFormat="1" ht="12.75">
      <c r="A13" s="141" t="s">
        <v>121</v>
      </c>
      <c r="B13" s="142">
        <v>42098</v>
      </c>
      <c r="C13" s="141" t="s">
        <v>122</v>
      </c>
      <c r="D13" s="143">
        <v>989.6</v>
      </c>
      <c r="E13" s="150"/>
      <c r="F13" s="141"/>
      <c r="G13" s="141"/>
      <c r="H13" s="141"/>
      <c r="K13" s="147">
        <v>42098</v>
      </c>
      <c r="L13" s="147"/>
      <c r="M13" s="142">
        <v>42104</v>
      </c>
      <c r="N13" s="142">
        <v>42104</v>
      </c>
      <c r="O13" s="148">
        <f t="shared" si="5"/>
        <v>6</v>
      </c>
      <c r="P13" s="148">
        <f t="shared" si="6"/>
        <v>0</v>
      </c>
      <c r="Q13" s="148">
        <f t="shared" si="0"/>
        <v>6</v>
      </c>
      <c r="R13" s="148">
        <f t="shared" si="1"/>
        <v>-24</v>
      </c>
      <c r="S13" s="144">
        <v>29</v>
      </c>
      <c r="T13" s="149">
        <f t="shared" si="2"/>
        <v>0</v>
      </c>
      <c r="U13" s="149">
        <f t="shared" si="3"/>
        <v>-23750.4</v>
      </c>
      <c r="V13" s="146">
        <f t="shared" si="4"/>
        <v>129</v>
      </c>
    </row>
    <row r="14" spans="1:22" s="144" customFormat="1" ht="12.75">
      <c r="A14" s="141" t="s">
        <v>123</v>
      </c>
      <c r="B14" s="142">
        <v>42098</v>
      </c>
      <c r="C14" s="141" t="s">
        <v>124</v>
      </c>
      <c r="D14" s="143">
        <v>477.07</v>
      </c>
      <c r="E14" s="150"/>
      <c r="F14" s="152"/>
      <c r="K14" s="147">
        <v>42098</v>
      </c>
      <c r="L14" s="147"/>
      <c r="M14" s="142">
        <v>42104</v>
      </c>
      <c r="N14" s="142">
        <v>42104</v>
      </c>
      <c r="O14" s="148">
        <f t="shared" si="5"/>
        <v>6</v>
      </c>
      <c r="P14" s="148">
        <f t="shared" si="6"/>
        <v>0</v>
      </c>
      <c r="Q14" s="148">
        <f t="shared" si="0"/>
        <v>6</v>
      </c>
      <c r="R14" s="148">
        <f t="shared" si="1"/>
        <v>-24</v>
      </c>
      <c r="S14" s="144">
        <v>29</v>
      </c>
      <c r="T14" s="149">
        <f t="shared" si="2"/>
        <v>0</v>
      </c>
      <c r="U14" s="149">
        <f t="shared" si="3"/>
        <v>-11449.68</v>
      </c>
      <c r="V14" s="146">
        <f t="shared" si="4"/>
        <v>129</v>
      </c>
    </row>
    <row r="15" spans="1:22" s="144" customFormat="1" ht="12.75">
      <c r="A15" s="141" t="s">
        <v>125</v>
      </c>
      <c r="B15" s="142">
        <v>42098</v>
      </c>
      <c r="C15" s="141" t="s">
        <v>126</v>
      </c>
      <c r="D15" s="143">
        <v>72.65</v>
      </c>
      <c r="E15" s="150"/>
      <c r="F15" s="152"/>
      <c r="K15" s="147">
        <v>42098</v>
      </c>
      <c r="L15" s="147"/>
      <c r="M15" s="142">
        <v>42104</v>
      </c>
      <c r="N15" s="142">
        <v>42104</v>
      </c>
      <c r="O15" s="148">
        <f t="shared" si="5"/>
        <v>6</v>
      </c>
      <c r="P15" s="148">
        <f t="shared" si="6"/>
        <v>0</v>
      </c>
      <c r="Q15" s="148">
        <f t="shared" si="0"/>
        <v>6</v>
      </c>
      <c r="R15" s="148">
        <f t="shared" si="1"/>
        <v>-24</v>
      </c>
      <c r="S15" s="144">
        <v>29</v>
      </c>
      <c r="T15" s="149">
        <f t="shared" si="2"/>
        <v>0</v>
      </c>
      <c r="U15" s="149">
        <f t="shared" si="3"/>
        <v>-1743.6000000000001</v>
      </c>
      <c r="V15" s="146">
        <f t="shared" si="4"/>
        <v>129</v>
      </c>
    </row>
    <row r="16" spans="1:22" s="144" customFormat="1" ht="12.75">
      <c r="A16" s="141" t="s">
        <v>127</v>
      </c>
      <c r="B16" s="142">
        <v>42098</v>
      </c>
      <c r="C16" s="141" t="s">
        <v>128</v>
      </c>
      <c r="D16" s="143">
        <v>75.07</v>
      </c>
      <c r="E16" s="150"/>
      <c r="F16" s="152"/>
      <c r="K16" s="147">
        <v>42098</v>
      </c>
      <c r="L16" s="147"/>
      <c r="M16" s="142">
        <v>42104</v>
      </c>
      <c r="N16" s="142">
        <v>42104</v>
      </c>
      <c r="O16" s="148">
        <f t="shared" si="5"/>
        <v>6</v>
      </c>
      <c r="P16" s="148">
        <f t="shared" si="6"/>
        <v>0</v>
      </c>
      <c r="Q16" s="148">
        <f t="shared" si="0"/>
        <v>6</v>
      </c>
      <c r="R16" s="148">
        <f t="shared" si="1"/>
        <v>-24</v>
      </c>
      <c r="S16" s="144">
        <v>29</v>
      </c>
      <c r="T16" s="149">
        <f t="shared" si="2"/>
        <v>0</v>
      </c>
      <c r="U16" s="149">
        <f t="shared" si="3"/>
        <v>-1801.6799999999998</v>
      </c>
      <c r="V16" s="146">
        <f t="shared" si="4"/>
        <v>129</v>
      </c>
    </row>
    <row r="17" spans="1:22" s="144" customFormat="1" ht="12.75">
      <c r="A17" s="141" t="s">
        <v>129</v>
      </c>
      <c r="B17" s="142">
        <v>42095</v>
      </c>
      <c r="C17" s="141" t="s">
        <v>130</v>
      </c>
      <c r="D17" s="143">
        <v>665.02</v>
      </c>
      <c r="E17" s="150"/>
      <c r="F17" s="152"/>
      <c r="K17" s="147">
        <v>42095</v>
      </c>
      <c r="L17" s="147"/>
      <c r="M17" s="142">
        <v>42124</v>
      </c>
      <c r="N17" s="142">
        <v>42124</v>
      </c>
      <c r="O17" s="148">
        <f t="shared" si="5"/>
        <v>29</v>
      </c>
      <c r="P17" s="148">
        <f t="shared" si="6"/>
        <v>0</v>
      </c>
      <c r="Q17" s="148">
        <f t="shared" si="0"/>
        <v>29</v>
      </c>
      <c r="R17" s="148">
        <f t="shared" si="1"/>
        <v>-1</v>
      </c>
      <c r="S17" s="144">
        <v>29</v>
      </c>
      <c r="T17" s="149">
        <f t="shared" si="2"/>
        <v>0</v>
      </c>
      <c r="U17" s="149">
        <f t="shared" si="3"/>
        <v>-665.02</v>
      </c>
      <c r="V17" s="146">
        <f t="shared" si="4"/>
        <v>129</v>
      </c>
    </row>
    <row r="18" spans="1:22" s="144" customFormat="1" ht="12.75">
      <c r="A18" s="141" t="s">
        <v>131</v>
      </c>
      <c r="B18" s="142">
        <v>42095</v>
      </c>
      <c r="C18" s="141" t="s">
        <v>132</v>
      </c>
      <c r="D18" s="143">
        <v>674.09</v>
      </c>
      <c r="E18" s="150"/>
      <c r="F18" s="152"/>
      <c r="K18" s="147">
        <v>42095</v>
      </c>
      <c r="L18" s="147"/>
      <c r="M18" s="142">
        <v>42102</v>
      </c>
      <c r="N18" s="142">
        <v>42102</v>
      </c>
      <c r="O18" s="148">
        <f t="shared" si="5"/>
        <v>7</v>
      </c>
      <c r="P18" s="148">
        <f t="shared" si="6"/>
        <v>0</v>
      </c>
      <c r="Q18" s="148">
        <f t="shared" si="0"/>
        <v>7</v>
      </c>
      <c r="R18" s="148">
        <f t="shared" si="1"/>
        <v>-23</v>
      </c>
      <c r="S18" s="144">
        <v>20</v>
      </c>
      <c r="T18" s="149">
        <f t="shared" si="2"/>
        <v>0</v>
      </c>
      <c r="U18" s="149">
        <f t="shared" si="3"/>
        <v>-15504.070000000002</v>
      </c>
      <c r="V18" s="146">
        <f t="shared" si="4"/>
        <v>120</v>
      </c>
    </row>
    <row r="19" spans="1:22" s="144" customFormat="1" ht="12.75">
      <c r="A19" s="141" t="s">
        <v>133</v>
      </c>
      <c r="B19" s="142">
        <v>42101</v>
      </c>
      <c r="C19" s="141" t="s">
        <v>134</v>
      </c>
      <c r="D19" s="143">
        <v>-1.17</v>
      </c>
      <c r="E19" s="150"/>
      <c r="F19" s="152"/>
      <c r="K19" s="147">
        <v>42101</v>
      </c>
      <c r="L19" s="147"/>
      <c r="M19" s="142">
        <v>42111</v>
      </c>
      <c r="N19" s="142">
        <v>42111</v>
      </c>
      <c r="O19" s="148">
        <f t="shared" si="5"/>
        <v>10</v>
      </c>
      <c r="P19" s="148">
        <f t="shared" si="6"/>
        <v>0</v>
      </c>
      <c r="Q19" s="148">
        <f t="shared" si="0"/>
        <v>10</v>
      </c>
      <c r="R19" s="148">
        <f t="shared" si="1"/>
        <v>-20</v>
      </c>
      <c r="S19" s="144">
        <v>29</v>
      </c>
      <c r="T19" s="149">
        <f t="shared" si="2"/>
        <v>0</v>
      </c>
      <c r="U19" s="149">
        <f t="shared" si="3"/>
        <v>23.4</v>
      </c>
      <c r="V19" s="146">
        <f t="shared" si="4"/>
        <v>129</v>
      </c>
    </row>
    <row r="20" spans="1:22" s="144" customFormat="1" ht="12.75">
      <c r="A20" s="141" t="s">
        <v>135</v>
      </c>
      <c r="B20" s="142">
        <v>42101</v>
      </c>
      <c r="C20" s="141" t="s">
        <v>136</v>
      </c>
      <c r="D20" s="143">
        <v>-3.51</v>
      </c>
      <c r="E20" s="150"/>
      <c r="F20" s="152"/>
      <c r="K20" s="147">
        <v>42101</v>
      </c>
      <c r="L20" s="147"/>
      <c r="M20" s="142">
        <v>42111</v>
      </c>
      <c r="N20" s="142">
        <v>42111</v>
      </c>
      <c r="O20" s="148">
        <f t="shared" si="5"/>
        <v>10</v>
      </c>
      <c r="P20" s="148">
        <f t="shared" si="6"/>
        <v>0</v>
      </c>
      <c r="Q20" s="148">
        <f t="shared" si="0"/>
        <v>10</v>
      </c>
      <c r="R20" s="148">
        <f t="shared" si="1"/>
        <v>-20</v>
      </c>
      <c r="S20" s="144">
        <v>29</v>
      </c>
      <c r="T20" s="149">
        <f t="shared" si="2"/>
        <v>0</v>
      </c>
      <c r="U20" s="149">
        <f t="shared" si="3"/>
        <v>70.19999999999999</v>
      </c>
      <c r="V20" s="146">
        <f t="shared" si="4"/>
        <v>129</v>
      </c>
    </row>
    <row r="21" spans="1:22" s="144" customFormat="1" ht="12.75">
      <c r="A21" s="141" t="s">
        <v>137</v>
      </c>
      <c r="B21" s="142">
        <v>42108</v>
      </c>
      <c r="C21" s="141" t="s">
        <v>138</v>
      </c>
      <c r="D21" s="143">
        <v>38.34</v>
      </c>
      <c r="E21" s="150"/>
      <c r="F21" s="152"/>
      <c r="K21" s="147">
        <v>42108</v>
      </c>
      <c r="L21" s="147"/>
      <c r="M21" s="142">
        <v>42116</v>
      </c>
      <c r="N21" s="142">
        <v>42116</v>
      </c>
      <c r="O21" s="148">
        <f t="shared" si="5"/>
        <v>8</v>
      </c>
      <c r="P21" s="148">
        <f t="shared" si="6"/>
        <v>0</v>
      </c>
      <c r="Q21" s="148">
        <f t="shared" si="0"/>
        <v>8</v>
      </c>
      <c r="R21" s="148">
        <f t="shared" si="1"/>
        <v>-22</v>
      </c>
      <c r="S21" s="144">
        <v>29</v>
      </c>
      <c r="T21" s="149">
        <f t="shared" si="2"/>
        <v>0</v>
      </c>
      <c r="U21" s="149">
        <f t="shared" si="3"/>
        <v>-843.48</v>
      </c>
      <c r="V21" s="146">
        <f t="shared" si="4"/>
        <v>129</v>
      </c>
    </row>
    <row r="22" spans="1:22" s="144" customFormat="1" ht="12.75">
      <c r="A22" s="141" t="s">
        <v>139</v>
      </c>
      <c r="B22" s="142">
        <v>42108</v>
      </c>
      <c r="C22" s="141" t="s">
        <v>140</v>
      </c>
      <c r="D22" s="143">
        <v>35.13</v>
      </c>
      <c r="E22" s="150"/>
      <c r="F22" s="152"/>
      <c r="K22" s="147">
        <v>42108</v>
      </c>
      <c r="L22" s="147"/>
      <c r="M22" s="142">
        <v>42116</v>
      </c>
      <c r="N22" s="142">
        <v>42116</v>
      </c>
      <c r="O22" s="148">
        <f t="shared" si="5"/>
        <v>8</v>
      </c>
      <c r="P22" s="148">
        <f t="shared" si="6"/>
        <v>0</v>
      </c>
      <c r="Q22" s="148">
        <f t="shared" si="0"/>
        <v>8</v>
      </c>
      <c r="R22" s="148">
        <f t="shared" si="1"/>
        <v>-22</v>
      </c>
      <c r="S22" s="144">
        <v>29</v>
      </c>
      <c r="T22" s="149">
        <f t="shared" si="2"/>
        <v>0</v>
      </c>
      <c r="U22" s="149">
        <f t="shared" si="3"/>
        <v>-772.86</v>
      </c>
      <c r="V22" s="146">
        <f t="shared" si="4"/>
        <v>129</v>
      </c>
    </row>
    <row r="23" spans="1:22" s="144" customFormat="1" ht="12.75">
      <c r="A23" s="141" t="s">
        <v>141</v>
      </c>
      <c r="B23" s="142">
        <v>42103</v>
      </c>
      <c r="C23" s="141" t="s">
        <v>142</v>
      </c>
      <c r="D23" s="143">
        <v>882.85</v>
      </c>
      <c r="E23" s="150"/>
      <c r="F23" s="152"/>
      <c r="K23" s="147">
        <v>42103</v>
      </c>
      <c r="L23" s="147"/>
      <c r="M23" s="142">
        <v>42139</v>
      </c>
      <c r="N23" s="142">
        <v>42139</v>
      </c>
      <c r="O23" s="148">
        <f t="shared" si="5"/>
        <v>36</v>
      </c>
      <c r="P23" s="148">
        <f t="shared" si="6"/>
        <v>0</v>
      </c>
      <c r="Q23" s="148">
        <f t="shared" si="0"/>
        <v>36</v>
      </c>
      <c r="R23" s="148">
        <f t="shared" si="1"/>
        <v>6</v>
      </c>
      <c r="S23" s="144">
        <v>22</v>
      </c>
      <c r="T23" s="149">
        <f t="shared" si="2"/>
        <v>0</v>
      </c>
      <c r="U23" s="149">
        <f t="shared" si="3"/>
        <v>5297.1</v>
      </c>
      <c r="V23" s="146">
        <f t="shared" si="4"/>
        <v>122</v>
      </c>
    </row>
    <row r="24" spans="1:22" s="144" customFormat="1" ht="12.75">
      <c r="A24" s="141" t="s">
        <v>143</v>
      </c>
      <c r="B24" s="142">
        <v>42109</v>
      </c>
      <c r="C24" s="141" t="s">
        <v>144</v>
      </c>
      <c r="D24" s="143">
        <v>10650</v>
      </c>
      <c r="E24" s="150"/>
      <c r="F24" s="152"/>
      <c r="K24" s="147">
        <v>42109</v>
      </c>
      <c r="L24" s="147"/>
      <c r="M24" s="142">
        <v>42124</v>
      </c>
      <c r="N24" s="142">
        <v>42124</v>
      </c>
      <c r="O24" s="148">
        <f t="shared" si="5"/>
        <v>15</v>
      </c>
      <c r="P24" s="148">
        <f t="shared" si="6"/>
        <v>0</v>
      </c>
      <c r="Q24" s="148">
        <f t="shared" si="0"/>
        <v>15</v>
      </c>
      <c r="R24" s="148">
        <f t="shared" si="1"/>
        <v>-15</v>
      </c>
      <c r="S24" s="144">
        <v>29</v>
      </c>
      <c r="T24" s="149">
        <f t="shared" si="2"/>
        <v>0</v>
      </c>
      <c r="U24" s="149">
        <f t="shared" si="3"/>
        <v>-159750</v>
      </c>
      <c r="V24" s="146">
        <f t="shared" si="4"/>
        <v>129</v>
      </c>
    </row>
    <row r="25" spans="1:22" s="144" customFormat="1" ht="12.75">
      <c r="A25" s="141" t="s">
        <v>145</v>
      </c>
      <c r="B25" s="142">
        <v>42095</v>
      </c>
      <c r="C25" s="141" t="s">
        <v>146</v>
      </c>
      <c r="D25" s="143">
        <v>85.99</v>
      </c>
      <c r="E25" s="150"/>
      <c r="F25" s="152"/>
      <c r="K25" s="147">
        <v>42095</v>
      </c>
      <c r="L25" s="147"/>
      <c r="M25" s="142">
        <v>42124</v>
      </c>
      <c r="N25" s="142">
        <v>42124</v>
      </c>
      <c r="O25" s="148">
        <f t="shared" si="5"/>
        <v>29</v>
      </c>
      <c r="P25" s="148">
        <f t="shared" si="6"/>
        <v>0</v>
      </c>
      <c r="Q25" s="148">
        <f t="shared" si="0"/>
        <v>29</v>
      </c>
      <c r="R25" s="148">
        <f t="shared" si="1"/>
        <v>-1</v>
      </c>
      <c r="S25" s="144">
        <v>29</v>
      </c>
      <c r="T25" s="149">
        <f t="shared" si="2"/>
        <v>0</v>
      </c>
      <c r="U25" s="149">
        <f t="shared" si="3"/>
        <v>-85.99</v>
      </c>
      <c r="V25" s="146">
        <f t="shared" si="4"/>
        <v>129</v>
      </c>
    </row>
    <row r="26" spans="1:22" s="144" customFormat="1" ht="12.75">
      <c r="A26" s="141" t="s">
        <v>147</v>
      </c>
      <c r="B26" s="142">
        <v>42095</v>
      </c>
      <c r="C26" s="141" t="s">
        <v>148</v>
      </c>
      <c r="D26" s="143">
        <v>50.22</v>
      </c>
      <c r="E26" s="150"/>
      <c r="F26" s="152"/>
      <c r="K26" s="147">
        <v>42095</v>
      </c>
      <c r="L26" s="147"/>
      <c r="M26" s="142">
        <v>42095</v>
      </c>
      <c r="N26" s="142">
        <v>42095</v>
      </c>
      <c r="O26" s="148">
        <f t="shared" si="5"/>
        <v>0</v>
      </c>
      <c r="P26" s="148">
        <f t="shared" si="6"/>
        <v>0</v>
      </c>
      <c r="Q26" s="148">
        <f t="shared" si="0"/>
        <v>0</v>
      </c>
      <c r="R26" s="148">
        <f t="shared" si="1"/>
        <v>-30</v>
      </c>
      <c r="S26" s="144">
        <v>21</v>
      </c>
      <c r="T26" s="149">
        <f t="shared" si="2"/>
        <v>0</v>
      </c>
      <c r="U26" s="149">
        <f t="shared" si="3"/>
        <v>-1506.6</v>
      </c>
      <c r="V26" s="146">
        <f t="shared" si="4"/>
        <v>121</v>
      </c>
    </row>
    <row r="27" spans="1:22" s="144" customFormat="1" ht="12.75">
      <c r="A27" s="141" t="s">
        <v>149</v>
      </c>
      <c r="B27" s="142">
        <v>42111</v>
      </c>
      <c r="C27" s="141" t="s">
        <v>150</v>
      </c>
      <c r="D27" s="143">
        <v>8228</v>
      </c>
      <c r="E27" s="150"/>
      <c r="F27" s="152"/>
      <c r="K27" s="147">
        <v>42111</v>
      </c>
      <c r="L27" s="147"/>
      <c r="M27" s="142">
        <v>42124</v>
      </c>
      <c r="N27" s="142">
        <v>42124</v>
      </c>
      <c r="O27" s="148">
        <f t="shared" si="5"/>
        <v>13</v>
      </c>
      <c r="P27" s="148">
        <f t="shared" si="6"/>
        <v>0</v>
      </c>
      <c r="Q27" s="148">
        <f t="shared" si="0"/>
        <v>13</v>
      </c>
      <c r="R27" s="148">
        <f t="shared" si="1"/>
        <v>-17</v>
      </c>
      <c r="S27" s="144">
        <v>29</v>
      </c>
      <c r="T27" s="149">
        <f t="shared" si="2"/>
        <v>0</v>
      </c>
      <c r="U27" s="149">
        <f t="shared" si="3"/>
        <v>-139876</v>
      </c>
      <c r="V27" s="146">
        <f t="shared" si="4"/>
        <v>129</v>
      </c>
    </row>
    <row r="28" spans="1:22" s="144" customFormat="1" ht="12.75">
      <c r="A28" s="141" t="s">
        <v>151</v>
      </c>
      <c r="B28" s="142">
        <v>42109</v>
      </c>
      <c r="C28" s="141" t="s">
        <v>152</v>
      </c>
      <c r="D28" s="143">
        <v>329.87</v>
      </c>
      <c r="E28" s="150"/>
      <c r="F28" s="152"/>
      <c r="K28" s="147">
        <v>42109</v>
      </c>
      <c r="L28" s="147"/>
      <c r="M28" s="142">
        <v>42111</v>
      </c>
      <c r="N28" s="142">
        <v>42111</v>
      </c>
      <c r="O28" s="148">
        <f t="shared" si="5"/>
        <v>2</v>
      </c>
      <c r="P28" s="148">
        <f>+N28-M28</f>
        <v>0</v>
      </c>
      <c r="Q28" s="148">
        <f t="shared" si="0"/>
        <v>2</v>
      </c>
      <c r="R28" s="148">
        <f t="shared" si="1"/>
        <v>-28</v>
      </c>
      <c r="S28" s="144">
        <v>29</v>
      </c>
      <c r="T28" s="149">
        <f t="shared" si="2"/>
        <v>0</v>
      </c>
      <c r="U28" s="149">
        <f t="shared" si="3"/>
        <v>-9236.36</v>
      </c>
      <c r="V28" s="146">
        <f t="shared" si="4"/>
        <v>129</v>
      </c>
    </row>
    <row r="29" spans="1:22" s="144" customFormat="1" ht="12.75">
      <c r="A29" s="141" t="s">
        <v>153</v>
      </c>
      <c r="B29" s="142">
        <v>42109</v>
      </c>
      <c r="C29" s="141" t="s">
        <v>154</v>
      </c>
      <c r="D29" s="143">
        <v>172.28</v>
      </c>
      <c r="E29" s="150"/>
      <c r="F29" s="152"/>
      <c r="K29" s="147">
        <v>42109</v>
      </c>
      <c r="L29" s="147"/>
      <c r="M29" s="142">
        <v>42117</v>
      </c>
      <c r="N29" s="142">
        <v>42117</v>
      </c>
      <c r="O29" s="148">
        <f t="shared" si="5"/>
        <v>8</v>
      </c>
      <c r="P29" s="148">
        <f t="shared" si="6"/>
        <v>0</v>
      </c>
      <c r="Q29" s="148">
        <f t="shared" si="0"/>
        <v>8</v>
      </c>
      <c r="R29" s="148">
        <f t="shared" si="1"/>
        <v>-22</v>
      </c>
      <c r="S29" s="144">
        <v>29</v>
      </c>
      <c r="T29" s="149">
        <f t="shared" si="2"/>
        <v>0</v>
      </c>
      <c r="U29" s="149">
        <f t="shared" si="3"/>
        <v>-3790.16</v>
      </c>
      <c r="V29" s="146">
        <f t="shared" si="4"/>
        <v>129</v>
      </c>
    </row>
    <row r="30" spans="1:22" s="146" customFormat="1" ht="12.75">
      <c r="A30" s="150" t="s">
        <v>107</v>
      </c>
      <c r="B30" s="153">
        <v>42095</v>
      </c>
      <c r="C30" s="150" t="s">
        <v>108</v>
      </c>
      <c r="D30" s="154">
        <v>695.39</v>
      </c>
      <c r="E30" s="150"/>
      <c r="F30" s="155"/>
      <c r="K30" s="156">
        <v>42095</v>
      </c>
      <c r="L30" s="156"/>
      <c r="M30" s="153">
        <v>42110</v>
      </c>
      <c r="N30" s="153">
        <v>42110</v>
      </c>
      <c r="O30" s="148">
        <f t="shared" si="5"/>
        <v>15</v>
      </c>
      <c r="P30" s="148">
        <f t="shared" si="6"/>
        <v>0</v>
      </c>
      <c r="Q30" s="148">
        <f t="shared" si="0"/>
        <v>15</v>
      </c>
      <c r="R30" s="148">
        <f t="shared" si="1"/>
        <v>-15</v>
      </c>
      <c r="S30" s="146">
        <v>29</v>
      </c>
      <c r="T30" s="149">
        <f t="shared" si="2"/>
        <v>0</v>
      </c>
      <c r="U30" s="149">
        <f t="shared" si="3"/>
        <v>-10430.85</v>
      </c>
      <c r="V30" s="146">
        <f t="shared" si="4"/>
        <v>129</v>
      </c>
    </row>
    <row r="31" spans="1:22" s="144" customFormat="1" ht="12.75">
      <c r="A31" s="141" t="s">
        <v>155</v>
      </c>
      <c r="B31" s="142">
        <v>42095</v>
      </c>
      <c r="C31" s="141" t="s">
        <v>156</v>
      </c>
      <c r="D31" s="143">
        <v>-18.4</v>
      </c>
      <c r="E31" s="150"/>
      <c r="F31" s="152"/>
      <c r="K31" s="147">
        <v>42095</v>
      </c>
      <c r="L31" s="147"/>
      <c r="M31" s="142">
        <v>42102</v>
      </c>
      <c r="N31" s="142">
        <v>42102</v>
      </c>
      <c r="O31" s="148">
        <f t="shared" si="5"/>
        <v>7</v>
      </c>
      <c r="P31" s="148">
        <f t="shared" si="6"/>
        <v>0</v>
      </c>
      <c r="Q31" s="148">
        <f t="shared" si="0"/>
        <v>7</v>
      </c>
      <c r="R31" s="148">
        <f t="shared" si="1"/>
        <v>-23</v>
      </c>
      <c r="S31" s="146">
        <v>29</v>
      </c>
      <c r="T31" s="149">
        <f t="shared" si="2"/>
        <v>0</v>
      </c>
      <c r="U31" s="149">
        <f t="shared" si="3"/>
        <v>423.2</v>
      </c>
      <c r="V31" s="146">
        <f t="shared" si="4"/>
        <v>129</v>
      </c>
    </row>
    <row r="32" spans="1:22" s="144" customFormat="1" ht="12.75">
      <c r="A32" s="141" t="s">
        <v>157</v>
      </c>
      <c r="B32" s="142">
        <v>42095</v>
      </c>
      <c r="C32" s="141" t="s">
        <v>158</v>
      </c>
      <c r="D32" s="143">
        <v>-1.56</v>
      </c>
      <c r="E32" s="150"/>
      <c r="F32" s="152"/>
      <c r="K32" s="147">
        <v>42095</v>
      </c>
      <c r="L32" s="147"/>
      <c r="M32" s="142">
        <v>42102</v>
      </c>
      <c r="N32" s="142">
        <v>42102</v>
      </c>
      <c r="O32" s="148">
        <f t="shared" si="5"/>
        <v>7</v>
      </c>
      <c r="P32" s="148">
        <f t="shared" si="6"/>
        <v>0</v>
      </c>
      <c r="Q32" s="148">
        <f t="shared" si="0"/>
        <v>7</v>
      </c>
      <c r="R32" s="148">
        <f t="shared" si="1"/>
        <v>-23</v>
      </c>
      <c r="S32" s="146">
        <v>29</v>
      </c>
      <c r="T32" s="149">
        <f t="shared" si="2"/>
        <v>0</v>
      </c>
      <c r="U32" s="149">
        <f t="shared" si="3"/>
        <v>35.88</v>
      </c>
      <c r="V32" s="146">
        <f t="shared" si="4"/>
        <v>129</v>
      </c>
    </row>
    <row r="33" spans="1:22" s="144" customFormat="1" ht="12.75">
      <c r="A33" s="141" t="s">
        <v>159</v>
      </c>
      <c r="B33" s="142">
        <v>42095</v>
      </c>
      <c r="C33" s="141" t="s">
        <v>160</v>
      </c>
      <c r="D33" s="143">
        <v>-7.66</v>
      </c>
      <c r="E33" s="150"/>
      <c r="F33" s="152"/>
      <c r="K33" s="147">
        <v>42095</v>
      </c>
      <c r="L33" s="147"/>
      <c r="M33" s="142">
        <v>42102</v>
      </c>
      <c r="N33" s="142">
        <v>42102</v>
      </c>
      <c r="O33" s="148">
        <f t="shared" si="5"/>
        <v>7</v>
      </c>
      <c r="P33" s="148">
        <f t="shared" si="6"/>
        <v>0</v>
      </c>
      <c r="Q33" s="148">
        <f t="shared" si="0"/>
        <v>7</v>
      </c>
      <c r="R33" s="148">
        <f t="shared" si="1"/>
        <v>-23</v>
      </c>
      <c r="S33" s="146">
        <v>29</v>
      </c>
      <c r="T33" s="149">
        <f t="shared" si="2"/>
        <v>0</v>
      </c>
      <c r="U33" s="149">
        <f t="shared" si="3"/>
        <v>176.18</v>
      </c>
      <c r="V33" s="146">
        <f t="shared" si="4"/>
        <v>129</v>
      </c>
    </row>
    <row r="34" spans="1:22" s="144" customFormat="1" ht="12.75">
      <c r="A34" s="141" t="s">
        <v>161</v>
      </c>
      <c r="B34" s="142">
        <v>42095</v>
      </c>
      <c r="C34" s="141" t="s">
        <v>162</v>
      </c>
      <c r="D34" s="143">
        <v>-7.05</v>
      </c>
      <c r="E34" s="150"/>
      <c r="F34" s="152"/>
      <c r="K34" s="147">
        <v>42095</v>
      </c>
      <c r="L34" s="147"/>
      <c r="M34" s="142">
        <v>42102</v>
      </c>
      <c r="N34" s="142">
        <v>42102</v>
      </c>
      <c r="O34" s="148">
        <f t="shared" si="5"/>
        <v>7</v>
      </c>
      <c r="P34" s="148">
        <f t="shared" si="6"/>
        <v>0</v>
      </c>
      <c r="Q34" s="148">
        <f t="shared" si="0"/>
        <v>7</v>
      </c>
      <c r="R34" s="148">
        <f t="shared" si="1"/>
        <v>-23</v>
      </c>
      <c r="S34" s="146">
        <v>29</v>
      </c>
      <c r="T34" s="149">
        <f t="shared" si="2"/>
        <v>0</v>
      </c>
      <c r="U34" s="149">
        <f t="shared" si="3"/>
        <v>162.15</v>
      </c>
      <c r="V34" s="146">
        <f t="shared" si="4"/>
        <v>129</v>
      </c>
    </row>
    <row r="35" spans="1:22" s="144" customFormat="1" ht="12.75">
      <c r="A35" s="141" t="s">
        <v>163</v>
      </c>
      <c r="B35" s="142">
        <v>42095</v>
      </c>
      <c r="C35" s="141" t="s">
        <v>164</v>
      </c>
      <c r="D35" s="143">
        <v>-1.68</v>
      </c>
      <c r="E35" s="150"/>
      <c r="F35" s="152"/>
      <c r="K35" s="147">
        <v>42095</v>
      </c>
      <c r="L35" s="147"/>
      <c r="M35" s="142">
        <v>42102</v>
      </c>
      <c r="N35" s="142">
        <v>42102</v>
      </c>
      <c r="O35" s="148">
        <f t="shared" si="5"/>
        <v>7</v>
      </c>
      <c r="P35" s="148">
        <f t="shared" si="6"/>
        <v>0</v>
      </c>
      <c r="Q35" s="148">
        <f t="shared" si="0"/>
        <v>7</v>
      </c>
      <c r="R35" s="148">
        <f t="shared" si="1"/>
        <v>-23</v>
      </c>
      <c r="S35" s="146">
        <v>29</v>
      </c>
      <c r="T35" s="149">
        <f t="shared" si="2"/>
        <v>0</v>
      </c>
      <c r="U35" s="149">
        <f t="shared" si="3"/>
        <v>38.64</v>
      </c>
      <c r="V35" s="146">
        <f t="shared" si="4"/>
        <v>129</v>
      </c>
    </row>
    <row r="36" spans="1:22" s="144" customFormat="1" ht="12.75">
      <c r="A36" s="141" t="s">
        <v>165</v>
      </c>
      <c r="B36" s="142">
        <v>42095</v>
      </c>
      <c r="C36" s="141" t="s">
        <v>166</v>
      </c>
      <c r="D36" s="143">
        <v>-291.47</v>
      </c>
      <c r="E36" s="150"/>
      <c r="F36" s="152"/>
      <c r="K36" s="147">
        <v>42095</v>
      </c>
      <c r="L36" s="147"/>
      <c r="M36" s="142">
        <v>42102</v>
      </c>
      <c r="N36" s="142">
        <v>42102</v>
      </c>
      <c r="O36" s="148">
        <f t="shared" si="5"/>
        <v>7</v>
      </c>
      <c r="P36" s="148">
        <f t="shared" si="6"/>
        <v>0</v>
      </c>
      <c r="Q36" s="148">
        <f t="shared" si="0"/>
        <v>7</v>
      </c>
      <c r="R36" s="148">
        <f t="shared" si="1"/>
        <v>-23</v>
      </c>
      <c r="S36" s="146">
        <v>29</v>
      </c>
      <c r="T36" s="149">
        <f t="shared" si="2"/>
        <v>0</v>
      </c>
      <c r="U36" s="149">
        <f t="shared" si="3"/>
        <v>6703.81</v>
      </c>
      <c r="V36" s="146">
        <f t="shared" si="4"/>
        <v>129</v>
      </c>
    </row>
    <row r="37" spans="1:22" s="144" customFormat="1" ht="12.75">
      <c r="A37" s="141" t="s">
        <v>167</v>
      </c>
      <c r="B37" s="142">
        <v>42095</v>
      </c>
      <c r="C37" s="141" t="s">
        <v>168</v>
      </c>
      <c r="D37" s="143">
        <v>-124.27</v>
      </c>
      <c r="E37" s="150"/>
      <c r="F37" s="152"/>
      <c r="K37" s="147">
        <v>42095</v>
      </c>
      <c r="L37" s="147"/>
      <c r="M37" s="142">
        <v>42102</v>
      </c>
      <c r="N37" s="142">
        <v>42102</v>
      </c>
      <c r="O37" s="148">
        <f t="shared" si="5"/>
        <v>7</v>
      </c>
      <c r="P37" s="148">
        <f t="shared" si="6"/>
        <v>0</v>
      </c>
      <c r="Q37" s="148">
        <f t="shared" si="0"/>
        <v>7</v>
      </c>
      <c r="R37" s="148">
        <f t="shared" si="1"/>
        <v>-23</v>
      </c>
      <c r="S37" s="146">
        <v>29</v>
      </c>
      <c r="T37" s="149">
        <f t="shared" si="2"/>
        <v>0</v>
      </c>
      <c r="U37" s="149">
        <f t="shared" si="3"/>
        <v>2858.21</v>
      </c>
      <c r="V37" s="146">
        <f t="shared" si="4"/>
        <v>129</v>
      </c>
    </row>
    <row r="38" spans="1:22" s="144" customFormat="1" ht="12.75">
      <c r="A38" s="141" t="s">
        <v>169</v>
      </c>
      <c r="B38" s="142">
        <v>42095</v>
      </c>
      <c r="C38" s="141" t="s">
        <v>170</v>
      </c>
      <c r="D38" s="143">
        <v>-18.2</v>
      </c>
      <c r="E38" s="150"/>
      <c r="F38" s="152"/>
      <c r="K38" s="147">
        <v>42095</v>
      </c>
      <c r="L38" s="147"/>
      <c r="M38" s="142">
        <v>42102</v>
      </c>
      <c r="N38" s="142">
        <v>42102</v>
      </c>
      <c r="O38" s="148">
        <f t="shared" si="5"/>
        <v>7</v>
      </c>
      <c r="P38" s="148">
        <f t="shared" si="6"/>
        <v>0</v>
      </c>
      <c r="Q38" s="148">
        <f t="shared" si="0"/>
        <v>7</v>
      </c>
      <c r="R38" s="148">
        <f t="shared" si="1"/>
        <v>-23</v>
      </c>
      <c r="S38" s="146">
        <v>29</v>
      </c>
      <c r="T38" s="149">
        <f t="shared" si="2"/>
        <v>0</v>
      </c>
      <c r="U38" s="149">
        <f t="shared" si="3"/>
        <v>418.59999999999997</v>
      </c>
      <c r="V38" s="146">
        <f t="shared" si="4"/>
        <v>129</v>
      </c>
    </row>
    <row r="39" spans="1:22" s="144" customFormat="1" ht="12.75">
      <c r="A39" s="141" t="s">
        <v>171</v>
      </c>
      <c r="B39" s="142">
        <v>42095</v>
      </c>
      <c r="C39" s="141" t="s">
        <v>172</v>
      </c>
      <c r="D39" s="143">
        <v>-27.77</v>
      </c>
      <c r="E39" s="150"/>
      <c r="F39" s="152"/>
      <c r="K39" s="147">
        <v>42095</v>
      </c>
      <c r="L39" s="147"/>
      <c r="M39" s="142">
        <v>42102</v>
      </c>
      <c r="N39" s="142">
        <v>42102</v>
      </c>
      <c r="O39" s="148">
        <f t="shared" si="5"/>
        <v>7</v>
      </c>
      <c r="P39" s="148">
        <f t="shared" si="6"/>
        <v>0</v>
      </c>
      <c r="Q39" s="148">
        <f t="shared" si="0"/>
        <v>7</v>
      </c>
      <c r="R39" s="148">
        <f>+Q39-30</f>
        <v>-23</v>
      </c>
      <c r="S39" s="146">
        <v>29</v>
      </c>
      <c r="T39" s="149">
        <f t="shared" si="2"/>
        <v>0</v>
      </c>
      <c r="U39" s="149">
        <f t="shared" si="3"/>
        <v>638.71</v>
      </c>
      <c r="V39" s="146">
        <f t="shared" si="4"/>
        <v>129</v>
      </c>
    </row>
    <row r="40" spans="1:22" s="144" customFormat="1" ht="12.75">
      <c r="A40" s="141" t="s">
        <v>173</v>
      </c>
      <c r="B40" s="142">
        <v>42095</v>
      </c>
      <c r="C40" s="141" t="s">
        <v>174</v>
      </c>
      <c r="D40" s="143">
        <v>-26.09</v>
      </c>
      <c r="E40" s="150"/>
      <c r="F40" s="152"/>
      <c r="K40" s="147">
        <v>42095</v>
      </c>
      <c r="L40" s="147"/>
      <c r="M40" s="142">
        <v>42102</v>
      </c>
      <c r="N40" s="142">
        <v>42102</v>
      </c>
      <c r="O40" s="148">
        <f t="shared" si="5"/>
        <v>7</v>
      </c>
      <c r="P40" s="148">
        <f t="shared" si="6"/>
        <v>0</v>
      </c>
      <c r="Q40" s="148">
        <f t="shared" si="0"/>
        <v>7</v>
      </c>
      <c r="R40" s="148">
        <f t="shared" si="1"/>
        <v>-23</v>
      </c>
      <c r="S40" s="146">
        <v>29</v>
      </c>
      <c r="T40" s="149">
        <f t="shared" si="2"/>
        <v>0</v>
      </c>
      <c r="U40" s="149">
        <f t="shared" si="3"/>
        <v>600.07</v>
      </c>
      <c r="V40" s="146">
        <f t="shared" si="4"/>
        <v>129</v>
      </c>
    </row>
    <row r="41" spans="1:22" s="144" customFormat="1" ht="12.75">
      <c r="A41" s="141" t="s">
        <v>175</v>
      </c>
      <c r="B41" s="142">
        <v>42095</v>
      </c>
      <c r="C41" s="141" t="s">
        <v>176</v>
      </c>
      <c r="D41" s="143">
        <v>-24.99</v>
      </c>
      <c r="E41" s="150"/>
      <c r="F41" s="152"/>
      <c r="K41" s="147">
        <v>42095</v>
      </c>
      <c r="L41" s="147"/>
      <c r="M41" s="142">
        <v>42102</v>
      </c>
      <c r="N41" s="142">
        <v>42102</v>
      </c>
      <c r="O41" s="148">
        <f t="shared" si="5"/>
        <v>7</v>
      </c>
      <c r="P41" s="148">
        <f t="shared" si="6"/>
        <v>0</v>
      </c>
      <c r="Q41" s="148">
        <f t="shared" si="0"/>
        <v>7</v>
      </c>
      <c r="R41" s="148">
        <f t="shared" si="1"/>
        <v>-23</v>
      </c>
      <c r="S41" s="146">
        <v>29</v>
      </c>
      <c r="T41" s="149">
        <f t="shared" si="2"/>
        <v>0</v>
      </c>
      <c r="U41" s="149">
        <f t="shared" si="3"/>
        <v>574.77</v>
      </c>
      <c r="V41" s="146">
        <f>IF(P41&gt;30,200+S41,100+S41)</f>
        <v>129</v>
      </c>
    </row>
    <row r="42" spans="1:22" s="144" customFormat="1" ht="12.75">
      <c r="A42" s="141" t="s">
        <v>177</v>
      </c>
      <c r="B42" s="142">
        <v>42095</v>
      </c>
      <c r="C42" s="141" t="s">
        <v>178</v>
      </c>
      <c r="D42" s="143">
        <v>-191.62</v>
      </c>
      <c r="E42" s="150"/>
      <c r="F42" s="152"/>
      <c r="K42" s="147">
        <v>42095</v>
      </c>
      <c r="L42" s="147"/>
      <c r="M42" s="142">
        <v>42102</v>
      </c>
      <c r="N42" s="142">
        <v>42102</v>
      </c>
      <c r="O42" s="148">
        <f t="shared" si="5"/>
        <v>7</v>
      </c>
      <c r="P42" s="148">
        <f t="shared" si="6"/>
        <v>0</v>
      </c>
      <c r="Q42" s="148">
        <f t="shared" si="0"/>
        <v>7</v>
      </c>
      <c r="R42" s="148">
        <f t="shared" si="1"/>
        <v>-23</v>
      </c>
      <c r="S42" s="146">
        <v>29</v>
      </c>
      <c r="T42" s="149">
        <f t="shared" si="2"/>
        <v>0</v>
      </c>
      <c r="U42" s="149">
        <f t="shared" si="3"/>
        <v>4407.26</v>
      </c>
      <c r="V42" s="146">
        <f t="shared" si="4"/>
        <v>129</v>
      </c>
    </row>
    <row r="43" spans="1:22" s="144" customFormat="1" ht="12.75">
      <c r="A43" s="141" t="s">
        <v>179</v>
      </c>
      <c r="B43" s="142">
        <v>42095</v>
      </c>
      <c r="C43" s="141" t="s">
        <v>180</v>
      </c>
      <c r="D43" s="143">
        <v>-24.15</v>
      </c>
      <c r="E43" s="150"/>
      <c r="F43" s="152"/>
      <c r="K43" s="147">
        <v>42095</v>
      </c>
      <c r="L43" s="147"/>
      <c r="M43" s="142">
        <v>42102</v>
      </c>
      <c r="N43" s="142">
        <v>42102</v>
      </c>
      <c r="O43" s="148">
        <f t="shared" si="5"/>
        <v>7</v>
      </c>
      <c r="P43" s="148">
        <f t="shared" si="6"/>
        <v>0</v>
      </c>
      <c r="Q43" s="148">
        <f t="shared" si="0"/>
        <v>7</v>
      </c>
      <c r="R43" s="148">
        <f t="shared" si="1"/>
        <v>-23</v>
      </c>
      <c r="S43" s="146">
        <v>29</v>
      </c>
      <c r="T43" s="149">
        <f t="shared" si="2"/>
        <v>0</v>
      </c>
      <c r="U43" s="149">
        <f t="shared" si="3"/>
        <v>555.4499999999999</v>
      </c>
      <c r="V43" s="146">
        <f t="shared" si="4"/>
        <v>129</v>
      </c>
    </row>
    <row r="44" spans="1:22" s="144" customFormat="1" ht="12.75">
      <c r="A44" s="141" t="s">
        <v>181</v>
      </c>
      <c r="B44" s="142">
        <v>42095</v>
      </c>
      <c r="C44" s="141" t="s">
        <v>182</v>
      </c>
      <c r="D44" s="143">
        <v>-355.21</v>
      </c>
      <c r="E44" s="150"/>
      <c r="F44" s="152"/>
      <c r="K44" s="147">
        <v>42095</v>
      </c>
      <c r="L44" s="147"/>
      <c r="M44" s="142">
        <v>42102</v>
      </c>
      <c r="N44" s="142">
        <v>42102</v>
      </c>
      <c r="O44" s="148">
        <f t="shared" si="5"/>
        <v>7</v>
      </c>
      <c r="P44" s="148">
        <f>+N44-M44</f>
        <v>0</v>
      </c>
      <c r="Q44" s="148">
        <f t="shared" si="0"/>
        <v>7</v>
      </c>
      <c r="R44" s="148">
        <f t="shared" si="1"/>
        <v>-23</v>
      </c>
      <c r="S44" s="146">
        <v>29</v>
      </c>
      <c r="T44" s="149">
        <f t="shared" si="2"/>
        <v>0</v>
      </c>
      <c r="U44" s="149">
        <f t="shared" si="3"/>
        <v>8169.83</v>
      </c>
      <c r="V44" s="146">
        <f t="shared" si="4"/>
        <v>129</v>
      </c>
    </row>
    <row r="45" spans="1:22" s="144" customFormat="1" ht="12.75">
      <c r="A45" s="141" t="s">
        <v>183</v>
      </c>
      <c r="B45" s="142">
        <v>42095</v>
      </c>
      <c r="C45" s="141" t="s">
        <v>184</v>
      </c>
      <c r="D45" s="143">
        <v>-26.09</v>
      </c>
      <c r="E45" s="150"/>
      <c r="F45" s="152"/>
      <c r="K45" s="147">
        <v>42095</v>
      </c>
      <c r="L45" s="147"/>
      <c r="M45" s="142">
        <v>42102</v>
      </c>
      <c r="N45" s="142">
        <v>42102</v>
      </c>
      <c r="O45" s="148">
        <f t="shared" si="5"/>
        <v>7</v>
      </c>
      <c r="P45" s="148">
        <f t="shared" si="6"/>
        <v>0</v>
      </c>
      <c r="Q45" s="148">
        <f t="shared" si="0"/>
        <v>7</v>
      </c>
      <c r="R45" s="148">
        <f t="shared" si="1"/>
        <v>-23</v>
      </c>
      <c r="S45" s="146">
        <v>29</v>
      </c>
      <c r="T45" s="149">
        <f t="shared" si="2"/>
        <v>0</v>
      </c>
      <c r="U45" s="149">
        <f t="shared" si="3"/>
        <v>600.07</v>
      </c>
      <c r="V45" s="146">
        <f t="shared" si="4"/>
        <v>129</v>
      </c>
    </row>
    <row r="46" spans="1:22" s="144" customFormat="1" ht="12.75">
      <c r="A46" s="141" t="s">
        <v>185</v>
      </c>
      <c r="B46" s="142">
        <v>42095</v>
      </c>
      <c r="C46" s="141" t="s">
        <v>186</v>
      </c>
      <c r="D46" s="143">
        <v>-6.26</v>
      </c>
      <c r="E46" s="150"/>
      <c r="F46" s="152"/>
      <c r="K46" s="147">
        <v>42095</v>
      </c>
      <c r="L46" s="147"/>
      <c r="M46" s="142">
        <v>42102</v>
      </c>
      <c r="N46" s="142">
        <v>42102</v>
      </c>
      <c r="O46" s="148">
        <f t="shared" si="5"/>
        <v>7</v>
      </c>
      <c r="P46" s="148">
        <f t="shared" si="6"/>
        <v>0</v>
      </c>
      <c r="Q46" s="148">
        <f t="shared" si="0"/>
        <v>7</v>
      </c>
      <c r="R46" s="148">
        <f t="shared" si="1"/>
        <v>-23</v>
      </c>
      <c r="S46" s="146">
        <v>29</v>
      </c>
      <c r="T46" s="149">
        <f t="shared" si="2"/>
        <v>0</v>
      </c>
      <c r="U46" s="149">
        <f t="shared" si="3"/>
        <v>143.98</v>
      </c>
      <c r="V46" s="146">
        <f t="shared" si="4"/>
        <v>129</v>
      </c>
    </row>
    <row r="47" spans="1:22" s="144" customFormat="1" ht="12.75">
      <c r="A47" s="141" t="s">
        <v>187</v>
      </c>
      <c r="B47" s="142">
        <v>42095</v>
      </c>
      <c r="C47" s="141" t="s">
        <v>188</v>
      </c>
      <c r="D47" s="143">
        <v>-183.07</v>
      </c>
      <c r="E47" s="150"/>
      <c r="F47" s="152"/>
      <c r="K47" s="147">
        <v>42095</v>
      </c>
      <c r="L47" s="147"/>
      <c r="M47" s="142">
        <v>42102</v>
      </c>
      <c r="N47" s="142">
        <v>42102</v>
      </c>
      <c r="O47" s="148">
        <f t="shared" si="5"/>
        <v>7</v>
      </c>
      <c r="P47" s="148">
        <f t="shared" si="6"/>
        <v>0</v>
      </c>
      <c r="Q47" s="148">
        <f t="shared" si="0"/>
        <v>7</v>
      </c>
      <c r="R47" s="148">
        <f t="shared" si="1"/>
        <v>-23</v>
      </c>
      <c r="S47" s="146">
        <v>29</v>
      </c>
      <c r="T47" s="149">
        <f t="shared" si="2"/>
        <v>0</v>
      </c>
      <c r="U47" s="149">
        <f t="shared" si="3"/>
        <v>4210.61</v>
      </c>
      <c r="V47" s="146">
        <f t="shared" si="4"/>
        <v>129</v>
      </c>
    </row>
    <row r="48" spans="1:22" s="144" customFormat="1" ht="12.75">
      <c r="A48" s="141" t="s">
        <v>189</v>
      </c>
      <c r="B48" s="142">
        <v>42095</v>
      </c>
      <c r="C48" s="141" t="s">
        <v>190</v>
      </c>
      <c r="D48" s="143">
        <v>-24.15</v>
      </c>
      <c r="E48" s="150"/>
      <c r="F48" s="152"/>
      <c r="K48" s="147">
        <v>42095</v>
      </c>
      <c r="L48" s="147"/>
      <c r="M48" s="142">
        <v>42102</v>
      </c>
      <c r="N48" s="142">
        <v>42102</v>
      </c>
      <c r="O48" s="148">
        <f t="shared" si="5"/>
        <v>7</v>
      </c>
      <c r="P48" s="148">
        <f t="shared" si="6"/>
        <v>0</v>
      </c>
      <c r="Q48" s="148">
        <f t="shared" si="0"/>
        <v>7</v>
      </c>
      <c r="R48" s="148">
        <f t="shared" si="1"/>
        <v>-23</v>
      </c>
      <c r="S48" s="146">
        <v>29</v>
      </c>
      <c r="T48" s="149">
        <f t="shared" si="2"/>
        <v>0</v>
      </c>
      <c r="U48" s="149">
        <f t="shared" si="3"/>
        <v>555.4499999999999</v>
      </c>
      <c r="V48" s="146">
        <f t="shared" si="4"/>
        <v>129</v>
      </c>
    </row>
    <row r="49" spans="1:22" s="144" customFormat="1" ht="12.75">
      <c r="A49" s="141" t="s">
        <v>191</v>
      </c>
      <c r="B49" s="142">
        <v>42095</v>
      </c>
      <c r="C49" s="141" t="s">
        <v>192</v>
      </c>
      <c r="D49" s="143">
        <v>-311.09</v>
      </c>
      <c r="E49" s="150"/>
      <c r="F49" s="152"/>
      <c r="K49" s="147">
        <v>42095</v>
      </c>
      <c r="L49" s="147"/>
      <c r="M49" s="142">
        <v>42102</v>
      </c>
      <c r="N49" s="142">
        <v>42102</v>
      </c>
      <c r="O49" s="148">
        <f t="shared" si="5"/>
        <v>7</v>
      </c>
      <c r="P49" s="148">
        <f t="shared" si="6"/>
        <v>0</v>
      </c>
      <c r="Q49" s="148">
        <f t="shared" si="0"/>
        <v>7</v>
      </c>
      <c r="R49" s="148">
        <f t="shared" si="1"/>
        <v>-23</v>
      </c>
      <c r="S49" s="146">
        <v>29</v>
      </c>
      <c r="T49" s="149">
        <f t="shared" si="2"/>
        <v>0</v>
      </c>
      <c r="U49" s="149">
        <f t="shared" si="3"/>
        <v>7155.07</v>
      </c>
      <c r="V49" s="146">
        <f t="shared" si="4"/>
        <v>129</v>
      </c>
    </row>
    <row r="50" spans="1:22" s="144" customFormat="1" ht="12.75">
      <c r="A50" s="141" t="s">
        <v>193</v>
      </c>
      <c r="B50" s="142">
        <v>42095</v>
      </c>
      <c r="C50" s="141" t="s">
        <v>194</v>
      </c>
      <c r="D50" s="143">
        <v>-24.15</v>
      </c>
      <c r="E50" s="150"/>
      <c r="F50" s="152"/>
      <c r="K50" s="147">
        <v>42095</v>
      </c>
      <c r="L50" s="147"/>
      <c r="M50" s="142">
        <v>42102</v>
      </c>
      <c r="N50" s="142">
        <v>42102</v>
      </c>
      <c r="O50" s="148">
        <f t="shared" si="5"/>
        <v>7</v>
      </c>
      <c r="P50" s="148">
        <f t="shared" si="6"/>
        <v>0</v>
      </c>
      <c r="Q50" s="148">
        <f t="shared" si="0"/>
        <v>7</v>
      </c>
      <c r="R50" s="148">
        <f t="shared" si="1"/>
        <v>-23</v>
      </c>
      <c r="S50" s="146">
        <v>29</v>
      </c>
      <c r="T50" s="149">
        <f t="shared" si="2"/>
        <v>0</v>
      </c>
      <c r="U50" s="149">
        <f t="shared" si="3"/>
        <v>555.4499999999999</v>
      </c>
      <c r="V50" s="146">
        <f t="shared" si="4"/>
        <v>129</v>
      </c>
    </row>
    <row r="51" spans="1:22" s="144" customFormat="1" ht="12.75">
      <c r="A51" s="141" t="s">
        <v>195</v>
      </c>
      <c r="B51" s="142">
        <v>42095</v>
      </c>
      <c r="C51" s="141" t="s">
        <v>196</v>
      </c>
      <c r="D51" s="143">
        <v>-26.09</v>
      </c>
      <c r="E51" s="150"/>
      <c r="F51" s="152"/>
      <c r="K51" s="147">
        <v>42095</v>
      </c>
      <c r="L51" s="147"/>
      <c r="M51" s="142">
        <v>42102</v>
      </c>
      <c r="N51" s="142">
        <v>42102</v>
      </c>
      <c r="O51" s="148">
        <f>+M51-K51</f>
        <v>7</v>
      </c>
      <c r="P51" s="148">
        <f t="shared" si="6"/>
        <v>0</v>
      </c>
      <c r="Q51" s="148">
        <f t="shared" si="0"/>
        <v>7</v>
      </c>
      <c r="R51" s="148">
        <f t="shared" si="1"/>
        <v>-23</v>
      </c>
      <c r="S51" s="146">
        <v>29</v>
      </c>
      <c r="T51" s="149">
        <f t="shared" si="2"/>
        <v>0</v>
      </c>
      <c r="U51" s="149">
        <f t="shared" si="3"/>
        <v>600.07</v>
      </c>
      <c r="V51" s="146">
        <f t="shared" si="4"/>
        <v>129</v>
      </c>
    </row>
    <row r="52" spans="1:22" s="144" customFormat="1" ht="12.75">
      <c r="A52" s="141" t="s">
        <v>197</v>
      </c>
      <c r="B52" s="142">
        <v>42107</v>
      </c>
      <c r="C52" s="141" t="s">
        <v>198</v>
      </c>
      <c r="D52" s="143">
        <v>45.15</v>
      </c>
      <c r="E52" s="150"/>
      <c r="F52" s="152"/>
      <c r="K52" s="147">
        <v>42107</v>
      </c>
      <c r="L52" s="147"/>
      <c r="M52" s="142">
        <v>42138</v>
      </c>
      <c r="N52" s="142">
        <v>42138</v>
      </c>
      <c r="O52" s="148">
        <f t="shared" si="5"/>
        <v>31</v>
      </c>
      <c r="P52" s="148">
        <f t="shared" si="6"/>
        <v>0</v>
      </c>
      <c r="Q52" s="148">
        <f t="shared" si="0"/>
        <v>31</v>
      </c>
      <c r="R52" s="148">
        <f t="shared" si="1"/>
        <v>1</v>
      </c>
      <c r="S52" s="146">
        <v>29</v>
      </c>
      <c r="T52" s="149">
        <f t="shared" si="2"/>
        <v>0</v>
      </c>
      <c r="U52" s="149">
        <f t="shared" si="3"/>
        <v>45.15</v>
      </c>
      <c r="V52" s="146">
        <f t="shared" si="4"/>
        <v>129</v>
      </c>
    </row>
    <row r="53" spans="1:22" s="144" customFormat="1" ht="12.75">
      <c r="A53" s="141" t="s">
        <v>199</v>
      </c>
      <c r="B53" s="142">
        <v>42114</v>
      </c>
      <c r="C53" s="141" t="s">
        <v>200</v>
      </c>
      <c r="D53" s="143">
        <v>249.8</v>
      </c>
      <c r="E53" s="150"/>
      <c r="F53" s="152"/>
      <c r="K53" s="147">
        <v>42114</v>
      </c>
      <c r="L53" s="147"/>
      <c r="M53" s="142">
        <v>42144</v>
      </c>
      <c r="N53" s="142">
        <v>42144</v>
      </c>
      <c r="O53" s="148">
        <f t="shared" si="5"/>
        <v>30</v>
      </c>
      <c r="P53" s="148">
        <f t="shared" si="6"/>
        <v>0</v>
      </c>
      <c r="Q53" s="148">
        <f t="shared" si="0"/>
        <v>30</v>
      </c>
      <c r="R53" s="148">
        <f t="shared" si="1"/>
        <v>0</v>
      </c>
      <c r="S53" s="146">
        <v>22</v>
      </c>
      <c r="T53" s="149">
        <f t="shared" si="2"/>
        <v>0</v>
      </c>
      <c r="U53" s="149">
        <f t="shared" si="3"/>
        <v>0</v>
      </c>
      <c r="V53" s="146">
        <f t="shared" si="4"/>
        <v>122</v>
      </c>
    </row>
    <row r="54" spans="1:22" s="144" customFormat="1" ht="12.75">
      <c r="A54" s="141" t="s">
        <v>201</v>
      </c>
      <c r="B54" s="142">
        <v>42124</v>
      </c>
      <c r="C54" s="141" t="s">
        <v>202</v>
      </c>
      <c r="D54" s="143">
        <v>250</v>
      </c>
      <c r="E54" s="150"/>
      <c r="F54" s="152"/>
      <c r="K54" s="147">
        <v>42124</v>
      </c>
      <c r="L54" s="147"/>
      <c r="M54" s="142">
        <v>42138</v>
      </c>
      <c r="N54" s="142">
        <f>+M54</f>
        <v>42138</v>
      </c>
      <c r="O54" s="148">
        <f t="shared" si="5"/>
        <v>14</v>
      </c>
      <c r="P54" s="148">
        <f t="shared" si="6"/>
        <v>0</v>
      </c>
      <c r="Q54" s="148">
        <f t="shared" si="0"/>
        <v>14</v>
      </c>
      <c r="R54" s="148">
        <f t="shared" si="1"/>
        <v>-16</v>
      </c>
      <c r="S54" s="146">
        <v>29</v>
      </c>
      <c r="T54" s="149">
        <f t="shared" si="2"/>
        <v>0</v>
      </c>
      <c r="U54" s="149">
        <f t="shared" si="3"/>
        <v>-4000</v>
      </c>
      <c r="V54" s="146">
        <f t="shared" si="4"/>
        <v>129</v>
      </c>
    </row>
    <row r="55" spans="1:22" s="144" customFormat="1" ht="12.75">
      <c r="A55" s="141" t="s">
        <v>203</v>
      </c>
      <c r="B55" s="142">
        <v>42095</v>
      </c>
      <c r="C55" s="141" t="s">
        <v>204</v>
      </c>
      <c r="D55" s="143">
        <v>219.07</v>
      </c>
      <c r="E55" s="150"/>
      <c r="F55" s="152"/>
      <c r="K55" s="147">
        <v>42095</v>
      </c>
      <c r="L55" s="147"/>
      <c r="M55" s="142">
        <v>42095</v>
      </c>
      <c r="N55" s="142">
        <f aca="true" t="shared" si="7" ref="N55:N118">+M55</f>
        <v>42095</v>
      </c>
      <c r="O55" s="148">
        <f t="shared" si="5"/>
        <v>0</v>
      </c>
      <c r="P55" s="148">
        <f t="shared" si="6"/>
        <v>0</v>
      </c>
      <c r="Q55" s="148">
        <f t="shared" si="0"/>
        <v>0</v>
      </c>
      <c r="R55" s="148">
        <f t="shared" si="1"/>
        <v>-30</v>
      </c>
      <c r="S55" s="146">
        <v>29</v>
      </c>
      <c r="T55" s="149">
        <f t="shared" si="2"/>
        <v>0</v>
      </c>
      <c r="U55" s="149">
        <f t="shared" si="3"/>
        <v>-6572.099999999999</v>
      </c>
      <c r="V55" s="146">
        <f t="shared" si="4"/>
        <v>129</v>
      </c>
    </row>
    <row r="56" spans="1:22" s="144" customFormat="1" ht="12.75">
      <c r="A56" s="141" t="s">
        <v>205</v>
      </c>
      <c r="B56" s="142">
        <v>42125</v>
      </c>
      <c r="C56" s="141" t="s">
        <v>206</v>
      </c>
      <c r="D56" s="143">
        <v>180.7</v>
      </c>
      <c r="E56" s="150"/>
      <c r="F56" s="152"/>
      <c r="K56" s="147">
        <v>42125</v>
      </c>
      <c r="L56" s="147"/>
      <c r="M56" s="142">
        <v>42128</v>
      </c>
      <c r="N56" s="142">
        <f t="shared" si="7"/>
        <v>42128</v>
      </c>
      <c r="O56" s="148">
        <f t="shared" si="5"/>
        <v>3</v>
      </c>
      <c r="P56" s="148">
        <f t="shared" si="6"/>
        <v>0</v>
      </c>
      <c r="Q56" s="148">
        <f t="shared" si="0"/>
        <v>3</v>
      </c>
      <c r="R56" s="148">
        <f>+Q56-30</f>
        <v>-27</v>
      </c>
      <c r="S56" s="146">
        <v>29</v>
      </c>
      <c r="T56" s="149">
        <f t="shared" si="2"/>
        <v>0</v>
      </c>
      <c r="U56" s="149">
        <f t="shared" si="3"/>
        <v>-4878.9</v>
      </c>
      <c r="V56" s="146">
        <f t="shared" si="4"/>
        <v>129</v>
      </c>
    </row>
    <row r="57" spans="1:22" s="144" customFormat="1" ht="12.75">
      <c r="A57" s="141" t="s">
        <v>207</v>
      </c>
      <c r="B57" s="142">
        <v>42124</v>
      </c>
      <c r="C57" s="141" t="s">
        <v>208</v>
      </c>
      <c r="D57" s="143">
        <v>343.48</v>
      </c>
      <c r="E57" s="150"/>
      <c r="F57" s="152"/>
      <c r="K57" s="147">
        <v>42124</v>
      </c>
      <c r="L57" s="147"/>
      <c r="M57" s="142">
        <v>42138</v>
      </c>
      <c r="N57" s="142">
        <f t="shared" si="7"/>
        <v>42138</v>
      </c>
      <c r="O57" s="148">
        <f t="shared" si="5"/>
        <v>14</v>
      </c>
      <c r="P57" s="148">
        <f t="shared" si="6"/>
        <v>0</v>
      </c>
      <c r="Q57" s="148">
        <f t="shared" si="0"/>
        <v>14</v>
      </c>
      <c r="R57" s="148">
        <f t="shared" si="1"/>
        <v>-16</v>
      </c>
      <c r="S57" s="146">
        <v>21</v>
      </c>
      <c r="T57" s="149">
        <f t="shared" si="2"/>
        <v>0</v>
      </c>
      <c r="U57" s="149">
        <f t="shared" si="3"/>
        <v>-5495.68</v>
      </c>
      <c r="V57" s="146">
        <f t="shared" si="4"/>
        <v>121</v>
      </c>
    </row>
    <row r="58" spans="1:22" s="144" customFormat="1" ht="12.75">
      <c r="A58" s="141" t="s">
        <v>209</v>
      </c>
      <c r="B58" s="142">
        <v>42124</v>
      </c>
      <c r="C58" s="141" t="s">
        <v>210</v>
      </c>
      <c r="D58" s="143">
        <v>5404.99</v>
      </c>
      <c r="E58" s="150"/>
      <c r="F58" s="152"/>
      <c r="K58" s="147">
        <v>42124</v>
      </c>
      <c r="L58" s="147"/>
      <c r="M58" s="142">
        <v>42138</v>
      </c>
      <c r="N58" s="142">
        <f t="shared" si="7"/>
        <v>42138</v>
      </c>
      <c r="O58" s="148">
        <f t="shared" si="5"/>
        <v>14</v>
      </c>
      <c r="P58" s="148">
        <f t="shared" si="6"/>
        <v>0</v>
      </c>
      <c r="Q58" s="148">
        <f t="shared" si="0"/>
        <v>14</v>
      </c>
      <c r="R58" s="148">
        <f t="shared" si="1"/>
        <v>-16</v>
      </c>
      <c r="S58" s="146">
        <v>29</v>
      </c>
      <c r="T58" s="149">
        <f t="shared" si="2"/>
        <v>0</v>
      </c>
      <c r="U58" s="149">
        <f t="shared" si="3"/>
        <v>-86479.84</v>
      </c>
      <c r="V58" s="146">
        <f t="shared" si="4"/>
        <v>129</v>
      </c>
    </row>
    <row r="59" spans="1:22" s="144" customFormat="1" ht="12.75">
      <c r="A59" s="141" t="s">
        <v>211</v>
      </c>
      <c r="B59" s="142">
        <v>42122</v>
      </c>
      <c r="C59" s="141" t="s">
        <v>212</v>
      </c>
      <c r="D59" s="143">
        <v>71.4</v>
      </c>
      <c r="E59" s="150"/>
      <c r="F59" s="152"/>
      <c r="K59" s="147">
        <v>42122</v>
      </c>
      <c r="L59" s="147"/>
      <c r="M59" s="142">
        <v>42138</v>
      </c>
      <c r="N59" s="142">
        <f t="shared" si="7"/>
        <v>42138</v>
      </c>
      <c r="O59" s="148">
        <f t="shared" si="5"/>
        <v>16</v>
      </c>
      <c r="P59" s="148">
        <f t="shared" si="6"/>
        <v>0</v>
      </c>
      <c r="Q59" s="148">
        <f t="shared" si="0"/>
        <v>16</v>
      </c>
      <c r="R59" s="148">
        <f t="shared" si="1"/>
        <v>-14</v>
      </c>
      <c r="S59" s="146">
        <v>29</v>
      </c>
      <c r="T59" s="149">
        <f t="shared" si="2"/>
        <v>0</v>
      </c>
      <c r="U59" s="149">
        <f t="shared" si="3"/>
        <v>-999.6000000000001</v>
      </c>
      <c r="V59" s="146">
        <f t="shared" si="4"/>
        <v>129</v>
      </c>
    </row>
    <row r="60" spans="1:22" s="144" customFormat="1" ht="12.75">
      <c r="A60" s="141" t="s">
        <v>213</v>
      </c>
      <c r="B60" s="142">
        <v>42124</v>
      </c>
      <c r="C60" s="141" t="s">
        <v>214</v>
      </c>
      <c r="D60" s="143">
        <v>408</v>
      </c>
      <c r="E60" s="150"/>
      <c r="F60" s="152"/>
      <c r="K60" s="147">
        <v>42124</v>
      </c>
      <c r="L60" s="147"/>
      <c r="M60" s="142">
        <v>42138</v>
      </c>
      <c r="N60" s="142">
        <f t="shared" si="7"/>
        <v>42138</v>
      </c>
      <c r="O60" s="148">
        <f t="shared" si="5"/>
        <v>14</v>
      </c>
      <c r="P60" s="148">
        <f t="shared" si="6"/>
        <v>0</v>
      </c>
      <c r="Q60" s="148">
        <f t="shared" si="0"/>
        <v>14</v>
      </c>
      <c r="R60" s="148">
        <f t="shared" si="1"/>
        <v>-16</v>
      </c>
      <c r="S60" s="146">
        <v>29</v>
      </c>
      <c r="T60" s="149">
        <f t="shared" si="2"/>
        <v>0</v>
      </c>
      <c r="U60" s="149">
        <f t="shared" si="3"/>
        <v>-6528</v>
      </c>
      <c r="V60" s="146">
        <f t="shared" si="4"/>
        <v>129</v>
      </c>
    </row>
    <row r="61" spans="1:22" s="144" customFormat="1" ht="12.75">
      <c r="A61" s="141" t="s">
        <v>215</v>
      </c>
      <c r="B61" s="142">
        <v>42124</v>
      </c>
      <c r="C61" s="141" t="s">
        <v>216</v>
      </c>
      <c r="D61" s="143">
        <v>2295.71</v>
      </c>
      <c r="E61" s="150"/>
      <c r="F61" s="152"/>
      <c r="K61" s="147">
        <v>42124</v>
      </c>
      <c r="L61" s="147"/>
      <c r="M61" s="142">
        <v>42138</v>
      </c>
      <c r="N61" s="142">
        <f t="shared" si="7"/>
        <v>42138</v>
      </c>
      <c r="O61" s="148">
        <f t="shared" si="5"/>
        <v>14</v>
      </c>
      <c r="P61" s="148">
        <f>+N61-M61</f>
        <v>0</v>
      </c>
      <c r="Q61" s="148">
        <f t="shared" si="0"/>
        <v>14</v>
      </c>
      <c r="R61" s="148">
        <f t="shared" si="1"/>
        <v>-16</v>
      </c>
      <c r="S61" s="146">
        <v>29</v>
      </c>
      <c r="T61" s="149">
        <f t="shared" si="2"/>
        <v>0</v>
      </c>
      <c r="U61" s="149">
        <f t="shared" si="3"/>
        <v>-36731.36</v>
      </c>
      <c r="V61" s="146">
        <f t="shared" si="4"/>
        <v>129</v>
      </c>
    </row>
    <row r="62" spans="1:22" s="144" customFormat="1" ht="12.75">
      <c r="A62" s="141" t="s">
        <v>217</v>
      </c>
      <c r="B62" s="142">
        <v>42116</v>
      </c>
      <c r="C62" s="141" t="s">
        <v>218</v>
      </c>
      <c r="D62" s="143">
        <v>597.16</v>
      </c>
      <c r="E62" s="150"/>
      <c r="F62" s="152"/>
      <c r="K62" s="147">
        <v>42116</v>
      </c>
      <c r="L62" s="147"/>
      <c r="M62" s="142">
        <v>42138</v>
      </c>
      <c r="N62" s="142">
        <f t="shared" si="7"/>
        <v>42138</v>
      </c>
      <c r="O62" s="148">
        <f t="shared" si="5"/>
        <v>22</v>
      </c>
      <c r="P62" s="148">
        <f t="shared" si="6"/>
        <v>0</v>
      </c>
      <c r="Q62" s="148">
        <f t="shared" si="0"/>
        <v>22</v>
      </c>
      <c r="R62" s="148">
        <f t="shared" si="1"/>
        <v>-8</v>
      </c>
      <c r="S62" s="146">
        <v>29</v>
      </c>
      <c r="T62" s="149">
        <f t="shared" si="2"/>
        <v>0</v>
      </c>
      <c r="U62" s="149">
        <f t="shared" si="3"/>
        <v>-4777.28</v>
      </c>
      <c r="V62" s="146">
        <f>IF(P62&gt;30,200+S62,100+S62)</f>
        <v>129</v>
      </c>
    </row>
    <row r="63" spans="1:22" s="144" customFormat="1" ht="12.75">
      <c r="A63" s="141" t="s">
        <v>219</v>
      </c>
      <c r="B63" s="142">
        <v>42132</v>
      </c>
      <c r="C63" s="141" t="s">
        <v>220</v>
      </c>
      <c r="D63" s="143">
        <v>4111.64</v>
      </c>
      <c r="E63" s="150"/>
      <c r="F63" s="152"/>
      <c r="K63" s="147">
        <v>42132</v>
      </c>
      <c r="L63" s="147"/>
      <c r="M63" s="142">
        <v>42132</v>
      </c>
      <c r="N63" s="142">
        <f t="shared" si="7"/>
        <v>42132</v>
      </c>
      <c r="O63" s="148">
        <f t="shared" si="5"/>
        <v>0</v>
      </c>
      <c r="P63" s="148">
        <f t="shared" si="6"/>
        <v>0</v>
      </c>
      <c r="Q63" s="148">
        <f t="shared" si="0"/>
        <v>0</v>
      </c>
      <c r="R63" s="148">
        <f t="shared" si="1"/>
        <v>-30</v>
      </c>
      <c r="S63" s="146">
        <v>29</v>
      </c>
      <c r="T63" s="149">
        <f t="shared" si="2"/>
        <v>0</v>
      </c>
      <c r="U63" s="149">
        <f t="shared" si="3"/>
        <v>-123349.20000000001</v>
      </c>
      <c r="V63" s="146">
        <f t="shared" si="4"/>
        <v>129</v>
      </c>
    </row>
    <row r="64" spans="1:22" s="144" customFormat="1" ht="12.75">
      <c r="A64" s="141" t="s">
        <v>221</v>
      </c>
      <c r="B64" s="142">
        <v>42131</v>
      </c>
      <c r="C64" s="141" t="s">
        <v>222</v>
      </c>
      <c r="D64" s="143">
        <v>71.69</v>
      </c>
      <c r="E64" s="150"/>
      <c r="F64" s="152"/>
      <c r="K64" s="147">
        <v>42137</v>
      </c>
      <c r="L64" s="147"/>
      <c r="M64" s="142">
        <v>42139</v>
      </c>
      <c r="N64" s="142">
        <f t="shared" si="7"/>
        <v>42139</v>
      </c>
      <c r="O64" s="148">
        <f t="shared" si="5"/>
        <v>2</v>
      </c>
      <c r="P64" s="148">
        <f t="shared" si="6"/>
        <v>0</v>
      </c>
      <c r="Q64" s="148">
        <f t="shared" si="0"/>
        <v>2</v>
      </c>
      <c r="R64" s="148">
        <f t="shared" si="1"/>
        <v>-28</v>
      </c>
      <c r="S64" s="146">
        <v>22</v>
      </c>
      <c r="T64" s="149">
        <f t="shared" si="2"/>
        <v>0</v>
      </c>
      <c r="U64" s="149">
        <f t="shared" si="3"/>
        <v>-2007.32</v>
      </c>
      <c r="V64" s="146">
        <f t="shared" si="4"/>
        <v>122</v>
      </c>
    </row>
    <row r="65" spans="1:22" s="144" customFormat="1" ht="12.75">
      <c r="A65" s="141" t="s">
        <v>223</v>
      </c>
      <c r="B65" s="142">
        <v>42126</v>
      </c>
      <c r="C65" s="141" t="s">
        <v>224</v>
      </c>
      <c r="D65" s="143">
        <v>440.84</v>
      </c>
      <c r="E65" s="150"/>
      <c r="F65" s="152"/>
      <c r="K65" s="147">
        <v>42137</v>
      </c>
      <c r="L65" s="147"/>
      <c r="M65" s="142">
        <v>42132</v>
      </c>
      <c r="N65" s="142">
        <f t="shared" si="7"/>
        <v>42132</v>
      </c>
      <c r="O65" s="148">
        <f t="shared" si="5"/>
        <v>-5</v>
      </c>
      <c r="P65" s="148">
        <f t="shared" si="6"/>
        <v>0</v>
      </c>
      <c r="Q65" s="148">
        <f t="shared" si="0"/>
        <v>-5</v>
      </c>
      <c r="R65" s="148">
        <f t="shared" si="1"/>
        <v>-35</v>
      </c>
      <c r="S65" s="146">
        <v>29</v>
      </c>
      <c r="T65" s="149">
        <f t="shared" si="2"/>
        <v>0</v>
      </c>
      <c r="U65" s="149">
        <f t="shared" si="3"/>
        <v>-15429.4</v>
      </c>
      <c r="V65" s="146">
        <f t="shared" si="4"/>
        <v>129</v>
      </c>
    </row>
    <row r="66" spans="1:22" s="144" customFormat="1" ht="12.75">
      <c r="A66" s="141" t="s">
        <v>225</v>
      </c>
      <c r="B66" s="142">
        <v>42126</v>
      </c>
      <c r="C66" s="141" t="s">
        <v>226</v>
      </c>
      <c r="D66" s="143">
        <v>997.74</v>
      </c>
      <c r="E66" s="150"/>
      <c r="F66" s="152"/>
      <c r="K66" s="147">
        <v>42137</v>
      </c>
      <c r="L66" s="147"/>
      <c r="M66" s="142">
        <v>42132</v>
      </c>
      <c r="N66" s="142">
        <f t="shared" si="7"/>
        <v>42132</v>
      </c>
      <c r="O66" s="148">
        <f>+M66-K66</f>
        <v>-5</v>
      </c>
      <c r="P66" s="148">
        <f t="shared" si="6"/>
        <v>0</v>
      </c>
      <c r="Q66" s="148">
        <f t="shared" si="0"/>
        <v>-5</v>
      </c>
      <c r="R66" s="148">
        <f t="shared" si="1"/>
        <v>-35</v>
      </c>
      <c r="S66" s="146">
        <v>29</v>
      </c>
      <c r="T66" s="149">
        <f t="shared" si="2"/>
        <v>0</v>
      </c>
      <c r="U66" s="149">
        <f t="shared" si="3"/>
        <v>-34920.9</v>
      </c>
      <c r="V66" s="146">
        <f t="shared" si="4"/>
        <v>129</v>
      </c>
    </row>
    <row r="67" spans="1:22" s="144" customFormat="1" ht="12.75">
      <c r="A67" s="141" t="s">
        <v>227</v>
      </c>
      <c r="B67" s="142">
        <v>42126</v>
      </c>
      <c r="C67" s="141" t="s">
        <v>228</v>
      </c>
      <c r="D67" s="143">
        <v>72.65</v>
      </c>
      <c r="E67" s="150"/>
      <c r="F67" s="152"/>
      <c r="K67" s="147">
        <v>42137</v>
      </c>
      <c r="L67" s="147"/>
      <c r="M67" s="142">
        <v>42132</v>
      </c>
      <c r="N67" s="142">
        <f t="shared" si="7"/>
        <v>42132</v>
      </c>
      <c r="O67" s="148">
        <f t="shared" si="5"/>
        <v>-5</v>
      </c>
      <c r="P67" s="148">
        <f t="shared" si="6"/>
        <v>0</v>
      </c>
      <c r="Q67" s="148">
        <f t="shared" si="0"/>
        <v>-5</v>
      </c>
      <c r="R67" s="148">
        <f t="shared" si="1"/>
        <v>-35</v>
      </c>
      <c r="S67" s="146">
        <v>29</v>
      </c>
      <c r="T67" s="149">
        <f t="shared" si="2"/>
        <v>0</v>
      </c>
      <c r="U67" s="149">
        <f t="shared" si="3"/>
        <v>-2542.75</v>
      </c>
      <c r="V67" s="146">
        <f t="shared" si="4"/>
        <v>129</v>
      </c>
    </row>
    <row r="68" spans="1:22" s="144" customFormat="1" ht="12.75">
      <c r="A68" s="141" t="s">
        <v>229</v>
      </c>
      <c r="B68" s="142">
        <v>42126</v>
      </c>
      <c r="C68" s="141" t="s">
        <v>230</v>
      </c>
      <c r="D68" s="143">
        <v>75.07</v>
      </c>
      <c r="E68" s="150"/>
      <c r="F68" s="152"/>
      <c r="K68" s="147">
        <v>42137</v>
      </c>
      <c r="L68" s="147"/>
      <c r="M68" s="142">
        <v>42132</v>
      </c>
      <c r="N68" s="142">
        <f t="shared" si="7"/>
        <v>42132</v>
      </c>
      <c r="O68" s="148">
        <f t="shared" si="5"/>
        <v>-5</v>
      </c>
      <c r="P68" s="148">
        <f t="shared" si="6"/>
        <v>0</v>
      </c>
      <c r="Q68" s="148">
        <f t="shared" si="0"/>
        <v>-5</v>
      </c>
      <c r="R68" s="148">
        <f t="shared" si="1"/>
        <v>-35</v>
      </c>
      <c r="S68" s="146">
        <v>29</v>
      </c>
      <c r="T68" s="149">
        <f t="shared" si="2"/>
        <v>0</v>
      </c>
      <c r="U68" s="149">
        <f t="shared" si="3"/>
        <v>-2627.45</v>
      </c>
      <c r="V68" s="146">
        <f t="shared" si="4"/>
        <v>129</v>
      </c>
    </row>
    <row r="69" spans="1:22" s="144" customFormat="1" ht="12.75">
      <c r="A69" s="141" t="s">
        <v>231</v>
      </c>
      <c r="B69" s="142">
        <v>42126</v>
      </c>
      <c r="C69" s="141" t="s">
        <v>232</v>
      </c>
      <c r="D69" s="143">
        <v>151.31</v>
      </c>
      <c r="E69" s="150"/>
      <c r="F69" s="152"/>
      <c r="K69" s="147">
        <v>42137</v>
      </c>
      <c r="L69" s="147"/>
      <c r="M69" s="142">
        <v>42132</v>
      </c>
      <c r="N69" s="142">
        <f t="shared" si="7"/>
        <v>42132</v>
      </c>
      <c r="O69" s="148">
        <f t="shared" si="5"/>
        <v>-5</v>
      </c>
      <c r="P69" s="148">
        <f t="shared" si="6"/>
        <v>0</v>
      </c>
      <c r="Q69" s="148">
        <f t="shared" si="0"/>
        <v>-5</v>
      </c>
      <c r="R69" s="148">
        <f t="shared" si="1"/>
        <v>-35</v>
      </c>
      <c r="S69" s="146">
        <v>29</v>
      </c>
      <c r="T69" s="149">
        <f t="shared" si="2"/>
        <v>0</v>
      </c>
      <c r="U69" s="149">
        <f t="shared" si="3"/>
        <v>-5295.85</v>
      </c>
      <c r="V69" s="146">
        <f t="shared" si="4"/>
        <v>129</v>
      </c>
    </row>
    <row r="70" spans="1:22" s="144" customFormat="1" ht="12.75">
      <c r="A70" s="141" t="s">
        <v>233</v>
      </c>
      <c r="B70" s="142">
        <v>42109</v>
      </c>
      <c r="C70" s="141" t="s">
        <v>234</v>
      </c>
      <c r="D70" s="143">
        <v>48.4</v>
      </c>
      <c r="E70" s="150"/>
      <c r="F70" s="152"/>
      <c r="K70" s="147">
        <v>42109</v>
      </c>
      <c r="L70" s="147"/>
      <c r="M70" s="142">
        <v>42121</v>
      </c>
      <c r="N70" s="142">
        <f t="shared" si="7"/>
        <v>42121</v>
      </c>
      <c r="O70" s="148">
        <f t="shared" si="5"/>
        <v>12</v>
      </c>
      <c r="P70" s="148">
        <f t="shared" si="6"/>
        <v>0</v>
      </c>
      <c r="Q70" s="148">
        <f t="shared" si="0"/>
        <v>12</v>
      </c>
      <c r="R70" s="148">
        <f t="shared" si="1"/>
        <v>-18</v>
      </c>
      <c r="S70" s="146">
        <v>22</v>
      </c>
      <c r="T70" s="149">
        <f t="shared" si="2"/>
        <v>0</v>
      </c>
      <c r="U70" s="149">
        <f t="shared" si="3"/>
        <v>-871.1999999999999</v>
      </c>
      <c r="V70" s="146">
        <f t="shared" si="4"/>
        <v>122</v>
      </c>
    </row>
    <row r="71" spans="1:22" s="144" customFormat="1" ht="12.75">
      <c r="A71" s="141" t="s">
        <v>235</v>
      </c>
      <c r="B71" s="142">
        <v>42113</v>
      </c>
      <c r="C71" s="141" t="s">
        <v>236</v>
      </c>
      <c r="D71" s="143">
        <v>63.31</v>
      </c>
      <c r="E71" s="150"/>
      <c r="F71" s="152"/>
      <c r="K71" s="147">
        <v>42113</v>
      </c>
      <c r="L71" s="147"/>
      <c r="M71" s="142">
        <v>42114</v>
      </c>
      <c r="N71" s="142">
        <f t="shared" si="7"/>
        <v>42114</v>
      </c>
      <c r="O71" s="148">
        <f t="shared" si="5"/>
        <v>1</v>
      </c>
      <c r="P71" s="148">
        <f t="shared" si="6"/>
        <v>0</v>
      </c>
      <c r="Q71" s="148">
        <f aca="true" t="shared" si="8" ref="Q71:Q134">+N71-K71</f>
        <v>1</v>
      </c>
      <c r="R71" s="148">
        <f aca="true" t="shared" si="9" ref="R71:R80">+Q71-30</f>
        <v>-29</v>
      </c>
      <c r="S71" s="146">
        <v>29</v>
      </c>
      <c r="T71" s="149">
        <f aca="true" t="shared" si="10" ref="T71:T134">+P71*D71</f>
        <v>0</v>
      </c>
      <c r="U71" s="149">
        <f aca="true" t="shared" si="11" ref="U71:U134">+R71*D71</f>
        <v>-1835.99</v>
      </c>
      <c r="V71" s="146">
        <f aca="true" t="shared" si="12" ref="V71:V77">IF(P71&gt;30,200+S71,100+S71)</f>
        <v>129</v>
      </c>
    </row>
    <row r="72" spans="1:22" s="144" customFormat="1" ht="12.75">
      <c r="A72" s="141" t="s">
        <v>237</v>
      </c>
      <c r="B72" s="142">
        <v>42113</v>
      </c>
      <c r="C72" s="141" t="s">
        <v>238</v>
      </c>
      <c r="D72" s="143">
        <v>17.4</v>
      </c>
      <c r="E72" s="150"/>
      <c r="F72" s="152"/>
      <c r="K72" s="147">
        <v>42113</v>
      </c>
      <c r="L72" s="147"/>
      <c r="M72" s="142">
        <v>42114</v>
      </c>
      <c r="N72" s="142">
        <f t="shared" si="7"/>
        <v>42114</v>
      </c>
      <c r="O72" s="148">
        <f aca="true" t="shared" si="13" ref="O72:O84">+M72-K72</f>
        <v>1</v>
      </c>
      <c r="P72" s="148">
        <f aca="true" t="shared" si="14" ref="P72:P77">+N72-M72</f>
        <v>0</v>
      </c>
      <c r="Q72" s="148">
        <f t="shared" si="8"/>
        <v>1</v>
      </c>
      <c r="R72" s="148">
        <f t="shared" si="9"/>
        <v>-29</v>
      </c>
      <c r="S72" s="146">
        <v>29</v>
      </c>
      <c r="T72" s="149">
        <f t="shared" si="10"/>
        <v>0</v>
      </c>
      <c r="U72" s="149">
        <f t="shared" si="11"/>
        <v>-504.59999999999997</v>
      </c>
      <c r="V72" s="146">
        <f t="shared" si="12"/>
        <v>129</v>
      </c>
    </row>
    <row r="73" spans="1:22" s="144" customFormat="1" ht="12.75">
      <c r="A73" s="141" t="s">
        <v>239</v>
      </c>
      <c r="B73" s="142">
        <v>42129</v>
      </c>
      <c r="C73" s="141" t="s">
        <v>240</v>
      </c>
      <c r="D73" s="143">
        <v>201.05</v>
      </c>
      <c r="E73" s="150"/>
      <c r="F73" s="152"/>
      <c r="K73" s="147">
        <v>42137</v>
      </c>
      <c r="L73" s="147"/>
      <c r="M73" s="142">
        <v>42149</v>
      </c>
      <c r="N73" s="142">
        <f t="shared" si="7"/>
        <v>42149</v>
      </c>
      <c r="O73" s="148">
        <f t="shared" si="13"/>
        <v>12</v>
      </c>
      <c r="P73" s="148">
        <f t="shared" si="14"/>
        <v>0</v>
      </c>
      <c r="Q73" s="148">
        <f t="shared" si="8"/>
        <v>12</v>
      </c>
      <c r="R73" s="148">
        <f t="shared" si="9"/>
        <v>-18</v>
      </c>
      <c r="S73" s="146">
        <v>21</v>
      </c>
      <c r="T73" s="149">
        <f t="shared" si="10"/>
        <v>0</v>
      </c>
      <c r="U73" s="149">
        <f t="shared" si="11"/>
        <v>-3618.9</v>
      </c>
      <c r="V73" s="146">
        <f t="shared" si="12"/>
        <v>121</v>
      </c>
    </row>
    <row r="74" spans="1:22" s="144" customFormat="1" ht="12.75">
      <c r="A74" s="141" t="s">
        <v>241</v>
      </c>
      <c r="B74" s="142">
        <v>42123</v>
      </c>
      <c r="C74" s="141" t="s">
        <v>242</v>
      </c>
      <c r="D74" s="143">
        <v>330</v>
      </c>
      <c r="E74" s="150"/>
      <c r="F74" s="152"/>
      <c r="K74" s="147">
        <v>42123</v>
      </c>
      <c r="L74" s="147"/>
      <c r="M74" s="142">
        <v>42150</v>
      </c>
      <c r="N74" s="142">
        <f t="shared" si="7"/>
        <v>42150</v>
      </c>
      <c r="O74" s="148">
        <f t="shared" si="13"/>
        <v>27</v>
      </c>
      <c r="P74" s="148">
        <f t="shared" si="14"/>
        <v>0</v>
      </c>
      <c r="Q74" s="148">
        <f t="shared" si="8"/>
        <v>27</v>
      </c>
      <c r="R74" s="148">
        <f t="shared" si="9"/>
        <v>-3</v>
      </c>
      <c r="S74" s="146">
        <v>29</v>
      </c>
      <c r="T74" s="149">
        <f t="shared" si="10"/>
        <v>0</v>
      </c>
      <c r="U74" s="149">
        <f t="shared" si="11"/>
        <v>-990</v>
      </c>
      <c r="V74" s="146">
        <f t="shared" si="12"/>
        <v>129</v>
      </c>
    </row>
    <row r="75" spans="1:22" s="144" customFormat="1" ht="12.75">
      <c r="A75" s="141" t="s">
        <v>243</v>
      </c>
      <c r="B75" s="142">
        <v>42124</v>
      </c>
      <c r="C75" s="141" t="s">
        <v>244</v>
      </c>
      <c r="D75" s="143">
        <v>429.55</v>
      </c>
      <c r="E75" s="150"/>
      <c r="F75" s="152"/>
      <c r="K75" s="147">
        <v>42124</v>
      </c>
      <c r="L75" s="147"/>
      <c r="M75" s="142">
        <v>42138</v>
      </c>
      <c r="N75" s="142">
        <f t="shared" si="7"/>
        <v>42138</v>
      </c>
      <c r="O75" s="148">
        <f t="shared" si="13"/>
        <v>14</v>
      </c>
      <c r="P75" s="148">
        <f t="shared" si="14"/>
        <v>0</v>
      </c>
      <c r="Q75" s="148">
        <f t="shared" si="8"/>
        <v>14</v>
      </c>
      <c r="R75" s="148">
        <f t="shared" si="9"/>
        <v>-16</v>
      </c>
      <c r="S75" s="146">
        <v>29</v>
      </c>
      <c r="T75" s="149">
        <f t="shared" si="10"/>
        <v>0</v>
      </c>
      <c r="U75" s="149">
        <f t="shared" si="11"/>
        <v>-6872.8</v>
      </c>
      <c r="V75" s="146">
        <f t="shared" si="12"/>
        <v>129</v>
      </c>
    </row>
    <row r="76" spans="1:22" s="144" customFormat="1" ht="12.75">
      <c r="A76" s="141" t="s">
        <v>245</v>
      </c>
      <c r="B76" s="142">
        <v>42109</v>
      </c>
      <c r="C76" s="141" t="s">
        <v>246</v>
      </c>
      <c r="D76" s="143">
        <v>57.6</v>
      </c>
      <c r="E76" s="150"/>
      <c r="F76" s="152"/>
      <c r="K76" s="147">
        <v>42109</v>
      </c>
      <c r="L76" s="147"/>
      <c r="M76" s="142">
        <v>42117</v>
      </c>
      <c r="N76" s="142">
        <f t="shared" si="7"/>
        <v>42117</v>
      </c>
      <c r="O76" s="148">
        <f t="shared" si="13"/>
        <v>8</v>
      </c>
      <c r="P76" s="148">
        <f t="shared" si="14"/>
        <v>0</v>
      </c>
      <c r="Q76" s="148">
        <f t="shared" si="8"/>
        <v>8</v>
      </c>
      <c r="R76" s="148">
        <f t="shared" si="9"/>
        <v>-22</v>
      </c>
      <c r="S76" s="146">
        <v>29</v>
      </c>
      <c r="T76" s="149">
        <f t="shared" si="10"/>
        <v>0</v>
      </c>
      <c r="U76" s="149">
        <f t="shared" si="11"/>
        <v>-1267.2</v>
      </c>
      <c r="V76" s="146">
        <f t="shared" si="12"/>
        <v>129</v>
      </c>
    </row>
    <row r="77" spans="1:22" s="144" customFormat="1" ht="12.75">
      <c r="A77" s="141" t="s">
        <v>247</v>
      </c>
      <c r="B77" s="142">
        <v>42108</v>
      </c>
      <c r="C77" s="141" t="s">
        <v>248</v>
      </c>
      <c r="D77" s="143">
        <v>51.49</v>
      </c>
      <c r="E77" s="150"/>
      <c r="F77" s="152"/>
      <c r="K77" s="147">
        <v>42108</v>
      </c>
      <c r="L77" s="147"/>
      <c r="M77" s="142">
        <v>42116</v>
      </c>
      <c r="N77" s="142">
        <f t="shared" si="7"/>
        <v>42116</v>
      </c>
      <c r="O77" s="148">
        <f t="shared" si="13"/>
        <v>8</v>
      </c>
      <c r="P77" s="148">
        <f t="shared" si="14"/>
        <v>0</v>
      </c>
      <c r="Q77" s="148">
        <f t="shared" si="8"/>
        <v>8</v>
      </c>
      <c r="R77" s="148">
        <f t="shared" si="9"/>
        <v>-22</v>
      </c>
      <c r="S77" s="146">
        <v>29</v>
      </c>
      <c r="T77" s="149">
        <f t="shared" si="10"/>
        <v>0</v>
      </c>
      <c r="U77" s="149">
        <f t="shared" si="11"/>
        <v>-1132.78</v>
      </c>
      <c r="V77" s="146">
        <f t="shared" si="12"/>
        <v>129</v>
      </c>
    </row>
    <row r="78" spans="1:22" s="144" customFormat="1" ht="12.75">
      <c r="A78" s="141" t="s">
        <v>249</v>
      </c>
      <c r="B78" s="142">
        <v>42108</v>
      </c>
      <c r="C78" s="141" t="s">
        <v>250</v>
      </c>
      <c r="D78" s="143">
        <v>67.75</v>
      </c>
      <c r="E78" s="150"/>
      <c r="F78" s="152"/>
      <c r="K78" s="147">
        <v>42108</v>
      </c>
      <c r="L78" s="147"/>
      <c r="M78" s="142">
        <v>42116</v>
      </c>
      <c r="N78" s="142">
        <f t="shared" si="7"/>
        <v>42116</v>
      </c>
      <c r="O78" s="148">
        <f t="shared" si="13"/>
        <v>8</v>
      </c>
      <c r="P78" s="148">
        <f aca="true" t="shared" si="15" ref="P78:P97">+N78-M78</f>
        <v>0</v>
      </c>
      <c r="Q78" s="148">
        <f t="shared" si="8"/>
        <v>8</v>
      </c>
      <c r="R78" s="148">
        <f t="shared" si="9"/>
        <v>-22</v>
      </c>
      <c r="S78" s="146">
        <v>29</v>
      </c>
      <c r="T78" s="149">
        <f t="shared" si="10"/>
        <v>0</v>
      </c>
      <c r="U78" s="149">
        <f t="shared" si="11"/>
        <v>-1490.5</v>
      </c>
      <c r="V78" s="146">
        <f>IF(P78&gt;30,200+S78,100+S78)</f>
        <v>129</v>
      </c>
    </row>
    <row r="79" spans="1:22" s="144" customFormat="1" ht="12.75">
      <c r="A79" s="141" t="s">
        <v>251</v>
      </c>
      <c r="B79" s="142">
        <v>42124</v>
      </c>
      <c r="C79" s="141" t="s">
        <v>252</v>
      </c>
      <c r="D79" s="143">
        <v>155.39</v>
      </c>
      <c r="E79" s="150"/>
      <c r="F79" s="152"/>
      <c r="K79" s="147">
        <v>42124</v>
      </c>
      <c r="L79" s="147"/>
      <c r="M79" s="142">
        <v>42156</v>
      </c>
      <c r="N79" s="142">
        <f t="shared" si="7"/>
        <v>42156</v>
      </c>
      <c r="O79" s="148">
        <f t="shared" si="13"/>
        <v>32</v>
      </c>
      <c r="P79" s="148">
        <f t="shared" si="15"/>
        <v>0</v>
      </c>
      <c r="Q79" s="148">
        <f t="shared" si="8"/>
        <v>32</v>
      </c>
      <c r="R79" s="148">
        <f t="shared" si="9"/>
        <v>2</v>
      </c>
      <c r="S79" s="146">
        <v>22</v>
      </c>
      <c r="T79" s="149">
        <f t="shared" si="10"/>
        <v>0</v>
      </c>
      <c r="U79" s="149">
        <f t="shared" si="11"/>
        <v>310.78</v>
      </c>
      <c r="V79" s="146">
        <f aca="true" t="shared" si="16" ref="V79:V142">IF(P79&gt;30,200+S79,100+S79)</f>
        <v>122</v>
      </c>
    </row>
    <row r="80" spans="1:22" s="144" customFormat="1" ht="12.75">
      <c r="A80" s="141" t="s">
        <v>253</v>
      </c>
      <c r="B80" s="142">
        <v>42128</v>
      </c>
      <c r="C80" s="141" t="s">
        <v>254</v>
      </c>
      <c r="D80" s="143">
        <v>2342.72</v>
      </c>
      <c r="E80" s="150"/>
      <c r="F80" s="152"/>
      <c r="K80" s="147">
        <v>42143</v>
      </c>
      <c r="L80" s="147"/>
      <c r="M80" s="142">
        <v>42160</v>
      </c>
      <c r="N80" s="142">
        <f t="shared" si="7"/>
        <v>42160</v>
      </c>
      <c r="O80" s="148">
        <f t="shared" si="13"/>
        <v>17</v>
      </c>
      <c r="P80" s="148">
        <f t="shared" si="15"/>
        <v>0</v>
      </c>
      <c r="Q80" s="148">
        <f t="shared" si="8"/>
        <v>17</v>
      </c>
      <c r="R80" s="148">
        <f t="shared" si="9"/>
        <v>-13</v>
      </c>
      <c r="S80" s="146">
        <v>29</v>
      </c>
      <c r="T80" s="149">
        <f t="shared" si="10"/>
        <v>0</v>
      </c>
      <c r="U80" s="149">
        <f t="shared" si="11"/>
        <v>-30455.359999999997</v>
      </c>
      <c r="V80" s="146">
        <f t="shared" si="16"/>
        <v>129</v>
      </c>
    </row>
    <row r="81" spans="1:22" s="144" customFormat="1" ht="12.75">
      <c r="A81" s="141" t="s">
        <v>255</v>
      </c>
      <c r="B81" s="142">
        <v>42104</v>
      </c>
      <c r="C81" s="141" t="s">
        <v>256</v>
      </c>
      <c r="D81" s="143">
        <v>180.98</v>
      </c>
      <c r="E81" s="150"/>
      <c r="F81" s="152"/>
      <c r="K81" s="147">
        <v>42104</v>
      </c>
      <c r="L81" s="147"/>
      <c r="M81" s="142">
        <v>42124</v>
      </c>
      <c r="N81" s="142">
        <f t="shared" si="7"/>
        <v>42124</v>
      </c>
      <c r="O81" s="148">
        <f t="shared" si="13"/>
        <v>20</v>
      </c>
      <c r="P81" s="148">
        <f t="shared" si="15"/>
        <v>0</v>
      </c>
      <c r="Q81" s="148">
        <f t="shared" si="8"/>
        <v>20</v>
      </c>
      <c r="R81" s="148">
        <f>+Q81-30</f>
        <v>-10</v>
      </c>
      <c r="S81" s="146">
        <v>29</v>
      </c>
      <c r="T81" s="149">
        <f t="shared" si="10"/>
        <v>0</v>
      </c>
      <c r="U81" s="149">
        <f t="shared" si="11"/>
        <v>-1809.8</v>
      </c>
      <c r="V81" s="146">
        <f t="shared" si="16"/>
        <v>129</v>
      </c>
    </row>
    <row r="82" spans="1:22" s="144" customFormat="1" ht="12.75">
      <c r="A82" s="141" t="s">
        <v>257</v>
      </c>
      <c r="B82" s="142">
        <v>42137</v>
      </c>
      <c r="C82" s="141" t="s">
        <v>258</v>
      </c>
      <c r="D82" s="143">
        <v>514.25</v>
      </c>
      <c r="E82" s="150"/>
      <c r="F82" s="152"/>
      <c r="K82" s="147">
        <v>42163</v>
      </c>
      <c r="L82" s="147"/>
      <c r="M82" s="142">
        <v>42157</v>
      </c>
      <c r="N82" s="142">
        <f t="shared" si="7"/>
        <v>42157</v>
      </c>
      <c r="O82" s="148">
        <f t="shared" si="13"/>
        <v>-6</v>
      </c>
      <c r="P82" s="148">
        <f t="shared" si="15"/>
        <v>0</v>
      </c>
      <c r="Q82" s="148">
        <f t="shared" si="8"/>
        <v>-6</v>
      </c>
      <c r="R82" s="148">
        <f aca="true" t="shared" si="17" ref="R82:R105">+Q82-30</f>
        <v>-36</v>
      </c>
      <c r="S82" s="146">
        <v>29</v>
      </c>
      <c r="T82" s="149">
        <f t="shared" si="10"/>
        <v>0</v>
      </c>
      <c r="U82" s="149">
        <f t="shared" si="11"/>
        <v>-18513</v>
      </c>
      <c r="V82" s="146">
        <f t="shared" si="16"/>
        <v>129</v>
      </c>
    </row>
    <row r="83" spans="1:22" s="144" customFormat="1" ht="12.75">
      <c r="A83" s="141" t="s">
        <v>259</v>
      </c>
      <c r="B83" s="142">
        <v>42115</v>
      </c>
      <c r="C83" s="141" t="s">
        <v>260</v>
      </c>
      <c r="D83" s="143">
        <v>238.41</v>
      </c>
      <c r="E83" s="150"/>
      <c r="F83" s="152"/>
      <c r="K83" s="147">
        <v>42115</v>
      </c>
      <c r="L83" s="147"/>
      <c r="M83" s="142">
        <v>42157</v>
      </c>
      <c r="N83" s="142">
        <f t="shared" si="7"/>
        <v>42157</v>
      </c>
      <c r="O83" s="148">
        <f t="shared" si="13"/>
        <v>42</v>
      </c>
      <c r="P83" s="148">
        <f t="shared" si="15"/>
        <v>0</v>
      </c>
      <c r="Q83" s="148">
        <f t="shared" si="8"/>
        <v>42</v>
      </c>
      <c r="R83" s="148">
        <f t="shared" si="17"/>
        <v>12</v>
      </c>
      <c r="S83" s="146">
        <v>21</v>
      </c>
      <c r="T83" s="149">
        <f t="shared" si="10"/>
        <v>0</v>
      </c>
      <c r="U83" s="149">
        <f t="shared" si="11"/>
        <v>2860.92</v>
      </c>
      <c r="V83" s="146">
        <f t="shared" si="16"/>
        <v>121</v>
      </c>
    </row>
    <row r="84" spans="1:22" s="144" customFormat="1" ht="12.75">
      <c r="A84" s="141" t="s">
        <v>261</v>
      </c>
      <c r="B84" s="142">
        <v>42132</v>
      </c>
      <c r="C84" s="141" t="s">
        <v>262</v>
      </c>
      <c r="D84" s="143">
        <v>148.83</v>
      </c>
      <c r="E84" s="150"/>
      <c r="F84" s="152"/>
      <c r="K84" s="147">
        <v>42163</v>
      </c>
      <c r="L84" s="147"/>
      <c r="M84" s="142">
        <v>42153</v>
      </c>
      <c r="N84" s="142">
        <f t="shared" si="7"/>
        <v>42153</v>
      </c>
      <c r="O84" s="148">
        <f t="shared" si="13"/>
        <v>-10</v>
      </c>
      <c r="P84" s="148">
        <f t="shared" si="15"/>
        <v>0</v>
      </c>
      <c r="Q84" s="148">
        <f t="shared" si="8"/>
        <v>-10</v>
      </c>
      <c r="R84" s="148">
        <f t="shared" si="17"/>
        <v>-40</v>
      </c>
      <c r="S84" s="146">
        <v>29</v>
      </c>
      <c r="T84" s="149">
        <f t="shared" si="10"/>
        <v>0</v>
      </c>
      <c r="U84" s="149">
        <f t="shared" si="11"/>
        <v>-5953.200000000001</v>
      </c>
      <c r="V84" s="146">
        <f t="shared" si="16"/>
        <v>129</v>
      </c>
    </row>
    <row r="85" spans="1:22" s="144" customFormat="1" ht="12.75">
      <c r="A85" s="141" t="s">
        <v>263</v>
      </c>
      <c r="B85" s="142">
        <v>42110</v>
      </c>
      <c r="C85" s="141" t="s">
        <v>264</v>
      </c>
      <c r="D85" s="143">
        <v>57.08</v>
      </c>
      <c r="E85" s="150"/>
      <c r="F85" s="152"/>
      <c r="K85" s="147">
        <v>42110</v>
      </c>
      <c r="L85" s="147"/>
      <c r="M85" s="142">
        <v>42135</v>
      </c>
      <c r="N85" s="142">
        <f t="shared" si="7"/>
        <v>42135</v>
      </c>
      <c r="O85" s="148">
        <f>+M85-K85</f>
        <v>25</v>
      </c>
      <c r="P85" s="148">
        <f t="shared" si="15"/>
        <v>0</v>
      </c>
      <c r="Q85" s="148">
        <f t="shared" si="8"/>
        <v>25</v>
      </c>
      <c r="R85" s="148">
        <f t="shared" si="17"/>
        <v>-5</v>
      </c>
      <c r="S85" s="146">
        <v>29</v>
      </c>
      <c r="T85" s="149">
        <f t="shared" si="10"/>
        <v>0</v>
      </c>
      <c r="U85" s="149">
        <f t="shared" si="11"/>
        <v>-285.4</v>
      </c>
      <c r="V85" s="146">
        <f t="shared" si="16"/>
        <v>129</v>
      </c>
    </row>
    <row r="86" spans="1:22" s="144" customFormat="1" ht="12.75">
      <c r="A86" s="141" t="s">
        <v>265</v>
      </c>
      <c r="B86" s="142">
        <v>42111</v>
      </c>
      <c r="C86" s="141" t="s">
        <v>266</v>
      </c>
      <c r="D86" s="143">
        <v>285.74</v>
      </c>
      <c r="E86" s="150"/>
      <c r="F86" s="152"/>
      <c r="K86" s="147">
        <v>42111</v>
      </c>
      <c r="L86" s="147"/>
      <c r="M86" s="142">
        <v>42115</v>
      </c>
      <c r="N86" s="142">
        <f t="shared" si="7"/>
        <v>42115</v>
      </c>
      <c r="O86" s="148">
        <f aca="true" t="shared" si="18" ref="O86:O99">+M86-K86</f>
        <v>4</v>
      </c>
      <c r="P86" s="148">
        <f t="shared" si="15"/>
        <v>0</v>
      </c>
      <c r="Q86" s="148">
        <f t="shared" si="8"/>
        <v>4</v>
      </c>
      <c r="R86" s="148">
        <f t="shared" si="17"/>
        <v>-26</v>
      </c>
      <c r="S86" s="146">
        <v>29</v>
      </c>
      <c r="T86" s="149">
        <f t="shared" si="10"/>
        <v>0</v>
      </c>
      <c r="U86" s="149">
        <f t="shared" si="11"/>
        <v>-7429.24</v>
      </c>
      <c r="V86" s="146">
        <f t="shared" si="16"/>
        <v>129</v>
      </c>
    </row>
    <row r="87" spans="1:22" s="144" customFormat="1" ht="12.75">
      <c r="A87" s="141" t="s">
        <v>267</v>
      </c>
      <c r="B87" s="142">
        <v>42111</v>
      </c>
      <c r="C87" s="141" t="s">
        <v>268</v>
      </c>
      <c r="D87" s="143">
        <v>417.61</v>
      </c>
      <c r="E87" s="150"/>
      <c r="F87" s="152"/>
      <c r="K87" s="147">
        <v>42111</v>
      </c>
      <c r="L87" s="147"/>
      <c r="M87" s="142">
        <v>42115</v>
      </c>
      <c r="N87" s="142">
        <f t="shared" si="7"/>
        <v>42115</v>
      </c>
      <c r="O87" s="148">
        <f t="shared" si="18"/>
        <v>4</v>
      </c>
      <c r="P87" s="148">
        <f t="shared" si="15"/>
        <v>0</v>
      </c>
      <c r="Q87" s="148">
        <f t="shared" si="8"/>
        <v>4</v>
      </c>
      <c r="R87" s="148">
        <f t="shared" si="17"/>
        <v>-26</v>
      </c>
      <c r="S87" s="146">
        <v>29</v>
      </c>
      <c r="T87" s="149">
        <f t="shared" si="10"/>
        <v>0</v>
      </c>
      <c r="U87" s="149">
        <f t="shared" si="11"/>
        <v>-10857.86</v>
      </c>
      <c r="V87" s="146">
        <f t="shared" si="16"/>
        <v>129</v>
      </c>
    </row>
    <row r="88" spans="1:22" s="144" customFormat="1" ht="12.75">
      <c r="A88" s="141" t="s">
        <v>269</v>
      </c>
      <c r="B88" s="142">
        <v>42111</v>
      </c>
      <c r="C88" s="141" t="s">
        <v>270</v>
      </c>
      <c r="D88" s="143">
        <v>256.13</v>
      </c>
      <c r="E88" s="150"/>
      <c r="F88" s="152"/>
      <c r="K88" s="147">
        <v>42111</v>
      </c>
      <c r="L88" s="147"/>
      <c r="M88" s="142">
        <v>42115</v>
      </c>
      <c r="N88" s="142">
        <f t="shared" si="7"/>
        <v>42115</v>
      </c>
      <c r="O88" s="148">
        <f t="shared" si="18"/>
        <v>4</v>
      </c>
      <c r="P88" s="148">
        <f t="shared" si="15"/>
        <v>0</v>
      </c>
      <c r="Q88" s="148">
        <f t="shared" si="8"/>
        <v>4</v>
      </c>
      <c r="R88" s="148">
        <f t="shared" si="17"/>
        <v>-26</v>
      </c>
      <c r="S88" s="146">
        <v>29</v>
      </c>
      <c r="T88" s="149">
        <f t="shared" si="10"/>
        <v>0</v>
      </c>
      <c r="U88" s="149">
        <f t="shared" si="11"/>
        <v>-6659.38</v>
      </c>
      <c r="V88" s="146">
        <f t="shared" si="16"/>
        <v>129</v>
      </c>
    </row>
    <row r="89" spans="1:22" s="144" customFormat="1" ht="12.75">
      <c r="A89" s="141" t="s">
        <v>271</v>
      </c>
      <c r="B89" s="142">
        <v>42124</v>
      </c>
      <c r="C89" s="141" t="s">
        <v>272</v>
      </c>
      <c r="D89" s="143">
        <v>1807.5</v>
      </c>
      <c r="E89" s="150"/>
      <c r="F89" s="152"/>
      <c r="K89" s="147">
        <v>42124</v>
      </c>
      <c r="L89" s="147"/>
      <c r="M89" s="142">
        <v>42128</v>
      </c>
      <c r="N89" s="142">
        <f t="shared" si="7"/>
        <v>42128</v>
      </c>
      <c r="O89" s="148">
        <f t="shared" si="18"/>
        <v>4</v>
      </c>
      <c r="P89" s="148">
        <f t="shared" si="15"/>
        <v>0</v>
      </c>
      <c r="Q89" s="148">
        <f t="shared" si="8"/>
        <v>4</v>
      </c>
      <c r="R89" s="148">
        <f t="shared" si="17"/>
        <v>-26</v>
      </c>
      <c r="S89" s="146">
        <v>29</v>
      </c>
      <c r="T89" s="149">
        <f t="shared" si="10"/>
        <v>0</v>
      </c>
      <c r="U89" s="149">
        <f t="shared" si="11"/>
        <v>-46995</v>
      </c>
      <c r="V89" s="146">
        <f t="shared" si="16"/>
        <v>129</v>
      </c>
    </row>
    <row r="90" spans="1:22" s="144" customFormat="1" ht="12.75">
      <c r="A90" s="141" t="s">
        <v>275</v>
      </c>
      <c r="B90" s="142">
        <v>42129</v>
      </c>
      <c r="C90" s="141" t="s">
        <v>276</v>
      </c>
      <c r="D90" s="143">
        <v>27</v>
      </c>
      <c r="E90" s="150"/>
      <c r="F90" s="152"/>
      <c r="K90" s="147">
        <v>42163</v>
      </c>
      <c r="L90" s="147"/>
      <c r="M90" s="142">
        <v>42132</v>
      </c>
      <c r="N90" s="142">
        <f t="shared" si="7"/>
        <v>42132</v>
      </c>
      <c r="O90" s="148">
        <f t="shared" si="18"/>
        <v>-31</v>
      </c>
      <c r="P90" s="148">
        <f t="shared" si="15"/>
        <v>0</v>
      </c>
      <c r="Q90" s="148">
        <f t="shared" si="8"/>
        <v>-31</v>
      </c>
      <c r="R90" s="148">
        <f t="shared" si="17"/>
        <v>-61</v>
      </c>
      <c r="S90" s="146">
        <v>29</v>
      </c>
      <c r="T90" s="149">
        <f t="shared" si="10"/>
        <v>0</v>
      </c>
      <c r="U90" s="149">
        <f t="shared" si="11"/>
        <v>-1647</v>
      </c>
      <c r="V90" s="146">
        <f t="shared" si="16"/>
        <v>129</v>
      </c>
    </row>
    <row r="91" spans="1:22" s="144" customFormat="1" ht="12.75">
      <c r="A91" s="141" t="s">
        <v>277</v>
      </c>
      <c r="B91" s="142">
        <v>42143</v>
      </c>
      <c r="C91" s="141" t="s">
        <v>278</v>
      </c>
      <c r="D91" s="143">
        <v>448.53</v>
      </c>
      <c r="E91" s="150"/>
      <c r="F91" s="152"/>
      <c r="K91" s="147">
        <v>42163</v>
      </c>
      <c r="L91" s="147"/>
      <c r="M91" s="142">
        <v>42145</v>
      </c>
      <c r="N91" s="142">
        <f t="shared" si="7"/>
        <v>42145</v>
      </c>
      <c r="O91" s="148">
        <f t="shared" si="18"/>
        <v>-18</v>
      </c>
      <c r="P91" s="148">
        <f t="shared" si="15"/>
        <v>0</v>
      </c>
      <c r="Q91" s="148">
        <f t="shared" si="8"/>
        <v>-18</v>
      </c>
      <c r="R91" s="148">
        <f t="shared" si="17"/>
        <v>-48</v>
      </c>
      <c r="S91" s="146">
        <v>29</v>
      </c>
      <c r="T91" s="149">
        <f t="shared" si="10"/>
        <v>0</v>
      </c>
      <c r="U91" s="149">
        <f t="shared" si="11"/>
        <v>-21529.44</v>
      </c>
      <c r="V91" s="146">
        <f t="shared" si="16"/>
        <v>129</v>
      </c>
    </row>
    <row r="92" spans="1:22" s="144" customFormat="1" ht="12.75">
      <c r="A92" s="141" t="s">
        <v>279</v>
      </c>
      <c r="B92" s="142">
        <v>42125</v>
      </c>
      <c r="C92" s="141" t="s">
        <v>280</v>
      </c>
      <c r="D92" s="143">
        <v>674.09</v>
      </c>
      <c r="E92" s="150"/>
      <c r="F92" s="152"/>
      <c r="K92" s="147">
        <v>42163</v>
      </c>
      <c r="L92" s="147"/>
      <c r="M92" s="142">
        <v>42130</v>
      </c>
      <c r="N92" s="142">
        <f>+M92</f>
        <v>42130</v>
      </c>
      <c r="O92" s="148">
        <f t="shared" si="18"/>
        <v>-33</v>
      </c>
      <c r="P92" s="148">
        <f t="shared" si="15"/>
        <v>0</v>
      </c>
      <c r="Q92" s="148">
        <f t="shared" si="8"/>
        <v>-33</v>
      </c>
      <c r="R92" s="148">
        <f t="shared" si="17"/>
        <v>-63</v>
      </c>
      <c r="S92" s="146">
        <v>20</v>
      </c>
      <c r="T92" s="149">
        <f t="shared" si="10"/>
        <v>0</v>
      </c>
      <c r="U92" s="149">
        <f t="shared" si="11"/>
        <v>-42467.670000000006</v>
      </c>
      <c r="V92" s="146">
        <f t="shared" si="16"/>
        <v>120</v>
      </c>
    </row>
    <row r="93" spans="1:22" s="144" customFormat="1" ht="12.75">
      <c r="A93" s="141" t="s">
        <v>281</v>
      </c>
      <c r="B93" s="142">
        <v>42139</v>
      </c>
      <c r="C93" s="141" t="s">
        <v>282</v>
      </c>
      <c r="D93" s="143">
        <v>399.99</v>
      </c>
      <c r="E93" s="150"/>
      <c r="F93" s="152"/>
      <c r="K93" s="147">
        <v>42163</v>
      </c>
      <c r="L93" s="147"/>
      <c r="M93" s="142">
        <v>42143</v>
      </c>
      <c r="N93" s="142">
        <f t="shared" si="7"/>
        <v>42143</v>
      </c>
      <c r="O93" s="148">
        <f t="shared" si="18"/>
        <v>-20</v>
      </c>
      <c r="P93" s="148">
        <f t="shared" si="15"/>
        <v>0</v>
      </c>
      <c r="Q93" s="148">
        <f t="shared" si="8"/>
        <v>-20</v>
      </c>
      <c r="R93" s="148">
        <f t="shared" si="17"/>
        <v>-50</v>
      </c>
      <c r="S93" s="146">
        <v>29</v>
      </c>
      <c r="T93" s="149">
        <f t="shared" si="10"/>
        <v>0</v>
      </c>
      <c r="U93" s="149">
        <f t="shared" si="11"/>
        <v>-19999.5</v>
      </c>
      <c r="V93" s="146">
        <f t="shared" si="16"/>
        <v>129</v>
      </c>
    </row>
    <row r="94" spans="1:22" s="144" customFormat="1" ht="12.75">
      <c r="A94" s="141" t="s">
        <v>283</v>
      </c>
      <c r="B94" s="142">
        <v>42139</v>
      </c>
      <c r="C94" s="141" t="s">
        <v>284</v>
      </c>
      <c r="D94" s="143">
        <v>248.06</v>
      </c>
      <c r="E94" s="150"/>
      <c r="F94" s="152"/>
      <c r="K94" s="147">
        <v>42163</v>
      </c>
      <c r="L94" s="147"/>
      <c r="M94" s="142">
        <v>42143</v>
      </c>
      <c r="N94" s="142">
        <f t="shared" si="7"/>
        <v>42143</v>
      </c>
      <c r="O94" s="148">
        <f t="shared" si="18"/>
        <v>-20</v>
      </c>
      <c r="P94" s="148">
        <f t="shared" si="15"/>
        <v>0</v>
      </c>
      <c r="Q94" s="148">
        <f t="shared" si="8"/>
        <v>-20</v>
      </c>
      <c r="R94" s="148">
        <f t="shared" si="17"/>
        <v>-50</v>
      </c>
      <c r="S94" s="146">
        <v>29</v>
      </c>
      <c r="T94" s="149">
        <f t="shared" si="10"/>
        <v>0</v>
      </c>
      <c r="U94" s="149">
        <f t="shared" si="11"/>
        <v>-12403</v>
      </c>
      <c r="V94" s="146">
        <f t="shared" si="16"/>
        <v>129</v>
      </c>
    </row>
    <row r="95" spans="1:22" s="144" customFormat="1" ht="12.75">
      <c r="A95" s="141" t="s">
        <v>285</v>
      </c>
      <c r="B95" s="142">
        <v>42139</v>
      </c>
      <c r="C95" s="141" t="s">
        <v>286</v>
      </c>
      <c r="D95" s="143">
        <v>338.92</v>
      </c>
      <c r="E95" s="150"/>
      <c r="F95" s="152"/>
      <c r="K95" s="147">
        <v>42163</v>
      </c>
      <c r="L95" s="147"/>
      <c r="M95" s="142">
        <v>42143</v>
      </c>
      <c r="N95" s="142">
        <f t="shared" si="7"/>
        <v>42143</v>
      </c>
      <c r="O95" s="148">
        <f t="shared" si="18"/>
        <v>-20</v>
      </c>
      <c r="P95" s="148">
        <f t="shared" si="15"/>
        <v>0</v>
      </c>
      <c r="Q95" s="148">
        <f t="shared" si="8"/>
        <v>-20</v>
      </c>
      <c r="R95" s="148">
        <f t="shared" si="17"/>
        <v>-50</v>
      </c>
      <c r="S95" s="146">
        <v>29</v>
      </c>
      <c r="T95" s="149">
        <f t="shared" si="10"/>
        <v>0</v>
      </c>
      <c r="U95" s="149">
        <f t="shared" si="11"/>
        <v>-16946</v>
      </c>
      <c r="V95" s="146">
        <f t="shared" si="16"/>
        <v>129</v>
      </c>
    </row>
    <row r="96" spans="1:22" s="144" customFormat="1" ht="12.75">
      <c r="A96" s="141" t="s">
        <v>287</v>
      </c>
      <c r="B96" s="142">
        <v>42123</v>
      </c>
      <c r="C96" s="141" t="s">
        <v>288</v>
      </c>
      <c r="D96" s="143">
        <v>575</v>
      </c>
      <c r="E96" s="150"/>
      <c r="F96" s="152"/>
      <c r="K96" s="147">
        <v>42123</v>
      </c>
      <c r="L96" s="147"/>
      <c r="M96" s="142">
        <v>42150</v>
      </c>
      <c r="N96" s="142">
        <f t="shared" si="7"/>
        <v>42150</v>
      </c>
      <c r="O96" s="148">
        <f t="shared" si="18"/>
        <v>27</v>
      </c>
      <c r="P96" s="148">
        <f t="shared" si="15"/>
        <v>0</v>
      </c>
      <c r="Q96" s="148">
        <f t="shared" si="8"/>
        <v>27</v>
      </c>
      <c r="R96" s="148">
        <f t="shared" si="17"/>
        <v>-3</v>
      </c>
      <c r="S96" s="146">
        <v>29</v>
      </c>
      <c r="T96" s="149">
        <f t="shared" si="10"/>
        <v>0</v>
      </c>
      <c r="U96" s="149">
        <f t="shared" si="11"/>
        <v>-1725</v>
      </c>
      <c r="V96" s="146">
        <f t="shared" si="16"/>
        <v>129</v>
      </c>
    </row>
    <row r="97" spans="1:22" s="144" customFormat="1" ht="12.75">
      <c r="A97" s="141" t="s">
        <v>289</v>
      </c>
      <c r="B97" s="142">
        <v>42144</v>
      </c>
      <c r="C97" s="141" t="s">
        <v>290</v>
      </c>
      <c r="D97" s="143">
        <v>32.36</v>
      </c>
      <c r="E97" s="150"/>
      <c r="F97" s="152"/>
      <c r="K97" s="147">
        <v>42163</v>
      </c>
      <c r="L97" s="147"/>
      <c r="M97" s="142">
        <v>42184</v>
      </c>
      <c r="N97" s="142">
        <f t="shared" si="7"/>
        <v>42184</v>
      </c>
      <c r="O97" s="148">
        <f t="shared" si="18"/>
        <v>21</v>
      </c>
      <c r="P97" s="148">
        <f t="shared" si="15"/>
        <v>0</v>
      </c>
      <c r="Q97" s="148">
        <f t="shared" si="8"/>
        <v>21</v>
      </c>
      <c r="R97" s="148">
        <f t="shared" si="17"/>
        <v>-9</v>
      </c>
      <c r="S97" s="146">
        <v>22</v>
      </c>
      <c r="T97" s="149">
        <f t="shared" si="10"/>
        <v>0</v>
      </c>
      <c r="U97" s="149">
        <f t="shared" si="11"/>
        <v>-291.24</v>
      </c>
      <c r="V97" s="146">
        <f t="shared" si="16"/>
        <v>122</v>
      </c>
    </row>
    <row r="98" spans="1:22" s="144" customFormat="1" ht="12.75">
      <c r="A98" s="141" t="s">
        <v>291</v>
      </c>
      <c r="B98" s="142">
        <v>42123</v>
      </c>
      <c r="C98" s="141" t="s">
        <v>292</v>
      </c>
      <c r="D98" s="143">
        <v>100.68</v>
      </c>
      <c r="E98" s="150"/>
      <c r="F98" s="152"/>
      <c r="K98" s="147">
        <v>42123</v>
      </c>
      <c r="L98" s="147"/>
      <c r="M98" s="142">
        <v>42122</v>
      </c>
      <c r="N98" s="142">
        <f t="shared" si="7"/>
        <v>42122</v>
      </c>
      <c r="O98" s="148">
        <f t="shared" si="18"/>
        <v>-1</v>
      </c>
      <c r="P98" s="148">
        <f>+N98-M98</f>
        <v>0</v>
      </c>
      <c r="Q98" s="148">
        <f t="shared" si="8"/>
        <v>-1</v>
      </c>
      <c r="R98" s="148">
        <f t="shared" si="17"/>
        <v>-31</v>
      </c>
      <c r="S98" s="146">
        <v>29</v>
      </c>
      <c r="T98" s="149">
        <f t="shared" si="10"/>
        <v>0</v>
      </c>
      <c r="U98" s="149">
        <f t="shared" si="11"/>
        <v>-3121.0800000000004</v>
      </c>
      <c r="V98" s="146">
        <f t="shared" si="16"/>
        <v>129</v>
      </c>
    </row>
    <row r="99" spans="1:22" s="144" customFormat="1" ht="12.75">
      <c r="A99" s="141" t="s">
        <v>293</v>
      </c>
      <c r="B99" s="142">
        <v>42154</v>
      </c>
      <c r="C99" s="141" t="s">
        <v>294</v>
      </c>
      <c r="D99" s="143">
        <v>703.8</v>
      </c>
      <c r="E99" s="150"/>
      <c r="F99" s="152"/>
      <c r="K99" s="147">
        <v>42164</v>
      </c>
      <c r="L99" s="147"/>
      <c r="M99" s="142">
        <v>42167</v>
      </c>
      <c r="N99" s="142">
        <f>+M99</f>
        <v>42167</v>
      </c>
      <c r="O99" s="148">
        <f t="shared" si="18"/>
        <v>3</v>
      </c>
      <c r="P99" s="148">
        <f aca="true" t="shared" si="19" ref="P99:P121">+N99-M99</f>
        <v>0</v>
      </c>
      <c r="Q99" s="148">
        <f t="shared" si="8"/>
        <v>3</v>
      </c>
      <c r="R99" s="148">
        <f t="shared" si="17"/>
        <v>-27</v>
      </c>
      <c r="S99" s="146">
        <v>29</v>
      </c>
      <c r="T99" s="149">
        <f t="shared" si="10"/>
        <v>0</v>
      </c>
      <c r="U99" s="149">
        <f t="shared" si="11"/>
        <v>-19002.6</v>
      </c>
      <c r="V99" s="146">
        <f t="shared" si="16"/>
        <v>129</v>
      </c>
    </row>
    <row r="100" spans="1:22" s="144" customFormat="1" ht="12.75">
      <c r="A100" s="141" t="s">
        <v>295</v>
      </c>
      <c r="B100" s="142">
        <v>42151</v>
      </c>
      <c r="C100" s="141" t="s">
        <v>296</v>
      </c>
      <c r="D100" s="143">
        <v>3544.09</v>
      </c>
      <c r="E100" s="150"/>
      <c r="F100" s="152"/>
      <c r="K100" s="147">
        <v>42164</v>
      </c>
      <c r="L100" s="147"/>
      <c r="M100" s="142">
        <v>42167</v>
      </c>
      <c r="N100" s="142">
        <f t="shared" si="7"/>
        <v>42167</v>
      </c>
      <c r="O100" s="148">
        <f>+M100-K100</f>
        <v>3</v>
      </c>
      <c r="P100" s="148">
        <f t="shared" si="19"/>
        <v>0</v>
      </c>
      <c r="Q100" s="148">
        <f t="shared" si="8"/>
        <v>3</v>
      </c>
      <c r="R100" s="148">
        <f t="shared" si="17"/>
        <v>-27</v>
      </c>
      <c r="S100" s="146">
        <v>29</v>
      </c>
      <c r="T100" s="149">
        <f t="shared" si="10"/>
        <v>0</v>
      </c>
      <c r="U100" s="149">
        <f t="shared" si="11"/>
        <v>-95690.43000000001</v>
      </c>
      <c r="V100" s="146">
        <f t="shared" si="16"/>
        <v>129</v>
      </c>
    </row>
    <row r="101" spans="1:22" s="144" customFormat="1" ht="12.75">
      <c r="A101" s="141" t="s">
        <v>297</v>
      </c>
      <c r="B101" s="142">
        <v>42156</v>
      </c>
      <c r="C101" s="141" t="s">
        <v>298</v>
      </c>
      <c r="D101" s="143">
        <v>12713.11</v>
      </c>
      <c r="E101" s="150"/>
      <c r="F101" s="152"/>
      <c r="K101" s="147">
        <v>42164</v>
      </c>
      <c r="L101" s="147"/>
      <c r="M101" s="142">
        <v>42167</v>
      </c>
      <c r="N101" s="142">
        <f t="shared" si="7"/>
        <v>42167</v>
      </c>
      <c r="O101" s="148">
        <f aca="true" t="shared" si="20" ref="O101:O123">+M101-K101</f>
        <v>3</v>
      </c>
      <c r="P101" s="148">
        <f t="shared" si="19"/>
        <v>0</v>
      </c>
      <c r="Q101" s="148">
        <f t="shared" si="8"/>
        <v>3</v>
      </c>
      <c r="R101" s="148">
        <f t="shared" si="17"/>
        <v>-27</v>
      </c>
      <c r="S101" s="146">
        <v>29</v>
      </c>
      <c r="T101" s="149">
        <f t="shared" si="10"/>
        <v>0</v>
      </c>
      <c r="U101" s="149">
        <f t="shared" si="11"/>
        <v>-343253.97000000003</v>
      </c>
      <c r="V101" s="146">
        <f t="shared" si="16"/>
        <v>129</v>
      </c>
    </row>
    <row r="102" spans="1:22" s="144" customFormat="1" ht="12.75">
      <c r="A102" s="141" t="s">
        <v>299</v>
      </c>
      <c r="B102" s="142">
        <v>42163</v>
      </c>
      <c r="C102" s="141" t="s">
        <v>300</v>
      </c>
      <c r="D102" s="143">
        <v>4111.64</v>
      </c>
      <c r="E102" s="150"/>
      <c r="F102" s="152"/>
      <c r="K102" s="147">
        <v>42163</v>
      </c>
      <c r="L102" s="147"/>
      <c r="M102" s="142">
        <v>42163</v>
      </c>
      <c r="N102" s="142">
        <f t="shared" si="7"/>
        <v>42163</v>
      </c>
      <c r="O102" s="148">
        <f t="shared" si="20"/>
        <v>0</v>
      </c>
      <c r="P102" s="148">
        <f t="shared" si="19"/>
        <v>0</v>
      </c>
      <c r="Q102" s="148">
        <f t="shared" si="8"/>
        <v>0</v>
      </c>
      <c r="R102" s="148">
        <f t="shared" si="17"/>
        <v>-30</v>
      </c>
      <c r="S102" s="146">
        <v>29</v>
      </c>
      <c r="T102" s="149">
        <f t="shared" si="10"/>
        <v>0</v>
      </c>
      <c r="U102" s="149">
        <f t="shared" si="11"/>
        <v>-123349.20000000001</v>
      </c>
      <c r="V102" s="146">
        <f t="shared" si="16"/>
        <v>129</v>
      </c>
    </row>
    <row r="103" spans="1:22" s="144" customFormat="1" ht="12.75">
      <c r="A103" s="141" t="s">
        <v>301</v>
      </c>
      <c r="B103" s="142">
        <v>42159</v>
      </c>
      <c r="C103" s="141" t="s">
        <v>302</v>
      </c>
      <c r="D103" s="143">
        <v>57.27</v>
      </c>
      <c r="E103" s="150"/>
      <c r="F103" s="152"/>
      <c r="K103" s="147">
        <v>42165</v>
      </c>
      <c r="L103" s="147"/>
      <c r="M103" s="142">
        <v>42167</v>
      </c>
      <c r="N103" s="142">
        <f t="shared" si="7"/>
        <v>42167</v>
      </c>
      <c r="O103" s="148">
        <f t="shared" si="20"/>
        <v>2</v>
      </c>
      <c r="P103" s="148">
        <f t="shared" si="19"/>
        <v>0</v>
      </c>
      <c r="Q103" s="148">
        <f t="shared" si="8"/>
        <v>2</v>
      </c>
      <c r="R103" s="148">
        <f t="shared" si="17"/>
        <v>-28</v>
      </c>
      <c r="S103" s="146">
        <v>22</v>
      </c>
      <c r="T103" s="149">
        <f t="shared" si="10"/>
        <v>0</v>
      </c>
      <c r="U103" s="149">
        <f t="shared" si="11"/>
        <v>-1603.5600000000002</v>
      </c>
      <c r="V103" s="146">
        <f t="shared" si="16"/>
        <v>122</v>
      </c>
    </row>
    <row r="104" spans="1:22" s="144" customFormat="1" ht="12.75">
      <c r="A104" s="141" t="s">
        <v>303</v>
      </c>
      <c r="B104" s="142">
        <v>42144</v>
      </c>
      <c r="C104" s="141" t="s">
        <v>304</v>
      </c>
      <c r="D104" s="143">
        <v>344.49</v>
      </c>
      <c r="E104" s="150"/>
      <c r="F104" s="152"/>
      <c r="K104" s="147">
        <v>42144</v>
      </c>
      <c r="L104" s="147"/>
      <c r="M104" s="142">
        <v>42174</v>
      </c>
      <c r="N104" s="142">
        <f t="shared" si="7"/>
        <v>42174</v>
      </c>
      <c r="O104" s="148">
        <f t="shared" si="20"/>
        <v>30</v>
      </c>
      <c r="P104" s="148">
        <f t="shared" si="19"/>
        <v>0</v>
      </c>
      <c r="Q104" s="148">
        <f t="shared" si="8"/>
        <v>30</v>
      </c>
      <c r="R104" s="148">
        <f t="shared" si="17"/>
        <v>0</v>
      </c>
      <c r="S104" s="146">
        <v>21</v>
      </c>
      <c r="T104" s="149">
        <f t="shared" si="10"/>
        <v>0</v>
      </c>
      <c r="U104" s="149">
        <f t="shared" si="11"/>
        <v>0</v>
      </c>
      <c r="V104" s="146">
        <f t="shared" si="16"/>
        <v>121</v>
      </c>
    </row>
    <row r="105" spans="1:22" s="144" customFormat="1" ht="12.75">
      <c r="A105" s="141" t="s">
        <v>305</v>
      </c>
      <c r="B105" s="142">
        <v>42158</v>
      </c>
      <c r="C105" s="141" t="s">
        <v>306</v>
      </c>
      <c r="D105" s="143">
        <v>145.2</v>
      </c>
      <c r="E105" s="150"/>
      <c r="F105" s="152"/>
      <c r="K105" s="147">
        <v>42166</v>
      </c>
      <c r="L105" s="147"/>
      <c r="M105" s="142">
        <v>42167</v>
      </c>
      <c r="N105" s="142">
        <f t="shared" si="7"/>
        <v>42167</v>
      </c>
      <c r="O105" s="148">
        <f t="shared" si="20"/>
        <v>1</v>
      </c>
      <c r="P105" s="148">
        <f t="shared" si="19"/>
        <v>0</v>
      </c>
      <c r="Q105" s="148">
        <f t="shared" si="8"/>
        <v>1</v>
      </c>
      <c r="R105" s="148">
        <f t="shared" si="17"/>
        <v>-29</v>
      </c>
      <c r="S105" s="146">
        <v>29</v>
      </c>
      <c r="T105" s="149">
        <f t="shared" si="10"/>
        <v>0</v>
      </c>
      <c r="U105" s="149">
        <f t="shared" si="11"/>
        <v>-4210.799999999999</v>
      </c>
      <c r="V105" s="146">
        <f t="shared" si="16"/>
        <v>129</v>
      </c>
    </row>
    <row r="106" spans="1:22" s="144" customFormat="1" ht="12.75">
      <c r="A106" s="141" t="s">
        <v>307</v>
      </c>
      <c r="B106" s="142">
        <v>42163</v>
      </c>
      <c r="C106" s="141" t="s">
        <v>308</v>
      </c>
      <c r="D106" s="143">
        <v>45.46</v>
      </c>
      <c r="E106" s="150"/>
      <c r="F106" s="152"/>
      <c r="K106" s="147">
        <v>42170</v>
      </c>
      <c r="L106" s="147"/>
      <c r="M106" s="142">
        <v>42171</v>
      </c>
      <c r="N106" s="142">
        <f t="shared" si="7"/>
        <v>42171</v>
      </c>
      <c r="O106" s="148">
        <f t="shared" si="20"/>
        <v>1</v>
      </c>
      <c r="P106" s="148">
        <f t="shared" si="19"/>
        <v>0</v>
      </c>
      <c r="Q106" s="148">
        <f t="shared" si="8"/>
        <v>1</v>
      </c>
      <c r="R106" s="148">
        <f>+Q106-30</f>
        <v>-29</v>
      </c>
      <c r="S106" s="146">
        <v>29</v>
      </c>
      <c r="T106" s="149">
        <f t="shared" si="10"/>
        <v>0</v>
      </c>
      <c r="U106" s="149">
        <f t="shared" si="11"/>
        <v>-1318.34</v>
      </c>
      <c r="V106" s="146">
        <f t="shared" si="16"/>
        <v>129</v>
      </c>
    </row>
    <row r="107" spans="1:22" s="144" customFormat="1" ht="12.75">
      <c r="A107" s="141" t="s">
        <v>309</v>
      </c>
      <c r="B107" s="142">
        <v>42163</v>
      </c>
      <c r="C107" s="141" t="s">
        <v>310</v>
      </c>
      <c r="D107" s="143">
        <v>30.4</v>
      </c>
      <c r="E107" s="150"/>
      <c r="F107" s="152"/>
      <c r="K107" s="147">
        <v>42170</v>
      </c>
      <c r="L107" s="147"/>
      <c r="M107" s="142">
        <v>42171</v>
      </c>
      <c r="N107" s="142">
        <f t="shared" si="7"/>
        <v>42171</v>
      </c>
      <c r="O107" s="148">
        <f t="shared" si="20"/>
        <v>1</v>
      </c>
      <c r="P107" s="148">
        <f t="shared" si="19"/>
        <v>0</v>
      </c>
      <c r="Q107" s="148">
        <f t="shared" si="8"/>
        <v>1</v>
      </c>
      <c r="R107" s="148">
        <f aca="true" t="shared" si="21" ref="R107:R135">+Q107-30</f>
        <v>-29</v>
      </c>
      <c r="S107" s="146">
        <v>29</v>
      </c>
      <c r="T107" s="149">
        <f t="shared" si="10"/>
        <v>0</v>
      </c>
      <c r="U107" s="149">
        <f t="shared" si="11"/>
        <v>-881.5999999999999</v>
      </c>
      <c r="V107" s="146">
        <f t="shared" si="16"/>
        <v>129</v>
      </c>
    </row>
    <row r="108" spans="1:22" s="144" customFormat="1" ht="12.75">
      <c r="A108" s="141" t="s">
        <v>311</v>
      </c>
      <c r="B108" s="142">
        <v>42164</v>
      </c>
      <c r="C108" s="141" t="s">
        <v>312</v>
      </c>
      <c r="D108" s="143">
        <v>25.1</v>
      </c>
      <c r="E108" s="150"/>
      <c r="F108" s="152"/>
      <c r="K108" s="147">
        <v>42170</v>
      </c>
      <c r="L108" s="147"/>
      <c r="M108" s="142">
        <v>42171</v>
      </c>
      <c r="N108" s="142">
        <f t="shared" si="7"/>
        <v>42171</v>
      </c>
      <c r="O108" s="148">
        <f t="shared" si="20"/>
        <v>1</v>
      </c>
      <c r="P108" s="148">
        <f t="shared" si="19"/>
        <v>0</v>
      </c>
      <c r="Q108" s="148">
        <f t="shared" si="8"/>
        <v>1</v>
      </c>
      <c r="R108" s="148">
        <f t="shared" si="21"/>
        <v>-29</v>
      </c>
      <c r="S108" s="146">
        <v>29</v>
      </c>
      <c r="T108" s="149">
        <f t="shared" si="10"/>
        <v>0</v>
      </c>
      <c r="U108" s="149">
        <f t="shared" si="11"/>
        <v>-727.9000000000001</v>
      </c>
      <c r="V108" s="146">
        <f t="shared" si="16"/>
        <v>129</v>
      </c>
    </row>
    <row r="109" spans="1:22" s="144" customFormat="1" ht="12.75">
      <c r="A109" s="141" t="s">
        <v>313</v>
      </c>
      <c r="B109" s="142">
        <v>42167</v>
      </c>
      <c r="C109" s="141" t="s">
        <v>314</v>
      </c>
      <c r="D109" s="143">
        <v>437.58</v>
      </c>
      <c r="E109" s="150"/>
      <c r="F109" s="152"/>
      <c r="K109" s="147">
        <v>42170</v>
      </c>
      <c r="L109" s="147"/>
      <c r="M109" s="142">
        <v>42171</v>
      </c>
      <c r="N109" s="142">
        <f t="shared" si="7"/>
        <v>42171</v>
      </c>
      <c r="O109" s="148">
        <f t="shared" si="20"/>
        <v>1</v>
      </c>
      <c r="P109" s="148">
        <f t="shared" si="19"/>
        <v>0</v>
      </c>
      <c r="Q109" s="148">
        <f t="shared" si="8"/>
        <v>1</v>
      </c>
      <c r="R109" s="148">
        <f t="shared" si="21"/>
        <v>-29</v>
      </c>
      <c r="S109" s="146">
        <v>29</v>
      </c>
      <c r="T109" s="149">
        <f t="shared" si="10"/>
        <v>0</v>
      </c>
      <c r="U109" s="149">
        <f t="shared" si="11"/>
        <v>-12689.82</v>
      </c>
      <c r="V109" s="146">
        <f t="shared" si="16"/>
        <v>129</v>
      </c>
    </row>
    <row r="110" spans="1:22" s="144" customFormat="1" ht="12.75">
      <c r="A110" s="141" t="s">
        <v>315</v>
      </c>
      <c r="B110" s="142">
        <v>42160</v>
      </c>
      <c r="C110" s="141" t="s">
        <v>316</v>
      </c>
      <c r="D110" s="143">
        <v>105.1</v>
      </c>
      <c r="E110" s="150"/>
      <c r="F110" s="152"/>
      <c r="K110" s="147">
        <v>42170</v>
      </c>
      <c r="L110" s="147"/>
      <c r="M110" s="142">
        <v>42184</v>
      </c>
      <c r="N110" s="142">
        <f t="shared" si="7"/>
        <v>42184</v>
      </c>
      <c r="O110" s="148">
        <f t="shared" si="20"/>
        <v>14</v>
      </c>
      <c r="P110" s="148">
        <f t="shared" si="19"/>
        <v>0</v>
      </c>
      <c r="Q110" s="148">
        <f t="shared" si="8"/>
        <v>14</v>
      </c>
      <c r="R110" s="148">
        <f t="shared" si="21"/>
        <v>-16</v>
      </c>
      <c r="S110" s="146">
        <v>29</v>
      </c>
      <c r="T110" s="149">
        <f t="shared" si="10"/>
        <v>0</v>
      </c>
      <c r="U110" s="149">
        <f t="shared" si="11"/>
        <v>-1681.6</v>
      </c>
      <c r="V110" s="146">
        <f t="shared" si="16"/>
        <v>129</v>
      </c>
    </row>
    <row r="111" spans="1:22" s="144" customFormat="1" ht="12.75">
      <c r="A111" s="141" t="s">
        <v>317</v>
      </c>
      <c r="B111" s="142">
        <v>42153</v>
      </c>
      <c r="C111" s="141" t="s">
        <v>318</v>
      </c>
      <c r="D111" s="143">
        <v>72.54</v>
      </c>
      <c r="E111" s="150"/>
      <c r="F111" s="152"/>
      <c r="K111" s="147">
        <v>42170</v>
      </c>
      <c r="L111" s="147"/>
      <c r="M111" s="142">
        <v>42159</v>
      </c>
      <c r="N111" s="142">
        <f t="shared" si="7"/>
        <v>42159</v>
      </c>
      <c r="O111" s="148">
        <f t="shared" si="20"/>
        <v>-11</v>
      </c>
      <c r="P111" s="148">
        <f t="shared" si="19"/>
        <v>0</v>
      </c>
      <c r="Q111" s="148">
        <f t="shared" si="8"/>
        <v>-11</v>
      </c>
      <c r="R111" s="148">
        <f t="shared" si="21"/>
        <v>-41</v>
      </c>
      <c r="S111" s="146">
        <v>21</v>
      </c>
      <c r="T111" s="149">
        <f t="shared" si="10"/>
        <v>0</v>
      </c>
      <c r="U111" s="149">
        <f t="shared" si="11"/>
        <v>-2974.1400000000003</v>
      </c>
      <c r="V111" s="146">
        <f t="shared" si="16"/>
        <v>121</v>
      </c>
    </row>
    <row r="112" spans="1:22" s="144" customFormat="1" ht="12.75">
      <c r="A112" s="141" t="s">
        <v>319</v>
      </c>
      <c r="B112" s="142">
        <v>42163</v>
      </c>
      <c r="C112" s="141" t="s">
        <v>320</v>
      </c>
      <c r="D112" s="143">
        <v>28.65</v>
      </c>
      <c r="E112" s="150"/>
      <c r="F112" s="152"/>
      <c r="K112" s="147">
        <v>42170</v>
      </c>
      <c r="L112" s="147"/>
      <c r="M112" s="142">
        <v>42171</v>
      </c>
      <c r="N112" s="142">
        <f>+M112</f>
        <v>42171</v>
      </c>
      <c r="O112" s="148">
        <f t="shared" si="20"/>
        <v>1</v>
      </c>
      <c r="P112" s="148">
        <f t="shared" si="19"/>
        <v>0</v>
      </c>
      <c r="Q112" s="148">
        <f t="shared" si="8"/>
        <v>1</v>
      </c>
      <c r="R112" s="148">
        <f t="shared" si="21"/>
        <v>-29</v>
      </c>
      <c r="S112" s="146">
        <v>29</v>
      </c>
      <c r="T112" s="149">
        <f t="shared" si="10"/>
        <v>0</v>
      </c>
      <c r="U112" s="149">
        <f t="shared" si="11"/>
        <v>-830.8499999999999</v>
      </c>
      <c r="V112" s="146">
        <f t="shared" si="16"/>
        <v>129</v>
      </c>
    </row>
    <row r="113" spans="1:22" s="144" customFormat="1" ht="12.75">
      <c r="A113" s="141" t="s">
        <v>321</v>
      </c>
      <c r="B113" s="142">
        <v>42138</v>
      </c>
      <c r="C113" s="141" t="s">
        <v>322</v>
      </c>
      <c r="D113" s="143">
        <v>375</v>
      </c>
      <c r="E113" s="150"/>
      <c r="F113" s="152"/>
      <c r="K113" s="147">
        <v>42138</v>
      </c>
      <c r="L113" s="147"/>
      <c r="M113" s="142">
        <v>42138</v>
      </c>
      <c r="N113" s="142">
        <f t="shared" si="7"/>
        <v>42138</v>
      </c>
      <c r="O113" s="148">
        <f t="shared" si="20"/>
        <v>0</v>
      </c>
      <c r="P113" s="148">
        <f t="shared" si="19"/>
        <v>0</v>
      </c>
      <c r="Q113" s="148">
        <f t="shared" si="8"/>
        <v>0</v>
      </c>
      <c r="R113" s="148">
        <f t="shared" si="21"/>
        <v>-30</v>
      </c>
      <c r="S113" s="146">
        <v>29</v>
      </c>
      <c r="T113" s="149">
        <f t="shared" si="10"/>
        <v>0</v>
      </c>
      <c r="U113" s="149">
        <f t="shared" si="11"/>
        <v>-11250</v>
      </c>
      <c r="V113" s="146">
        <f t="shared" si="16"/>
        <v>129</v>
      </c>
    </row>
    <row r="114" spans="1:22" s="144" customFormat="1" ht="12.75">
      <c r="A114" s="141" t="s">
        <v>323</v>
      </c>
      <c r="B114" s="142">
        <v>42160</v>
      </c>
      <c r="C114" s="141" t="s">
        <v>324</v>
      </c>
      <c r="D114" s="143">
        <v>114.71</v>
      </c>
      <c r="E114" s="150"/>
      <c r="F114" s="152"/>
      <c r="K114" s="147">
        <v>42170</v>
      </c>
      <c r="L114" s="147"/>
      <c r="M114" s="142">
        <v>42184</v>
      </c>
      <c r="N114" s="142">
        <f t="shared" si="7"/>
        <v>42184</v>
      </c>
      <c r="O114" s="148">
        <f t="shared" si="20"/>
        <v>14</v>
      </c>
      <c r="P114" s="148">
        <f t="shared" si="19"/>
        <v>0</v>
      </c>
      <c r="Q114" s="148">
        <f t="shared" si="8"/>
        <v>14</v>
      </c>
      <c r="R114" s="148">
        <f t="shared" si="21"/>
        <v>-16</v>
      </c>
      <c r="S114" s="146">
        <v>29</v>
      </c>
      <c r="T114" s="149">
        <f t="shared" si="10"/>
        <v>0</v>
      </c>
      <c r="U114" s="149">
        <f t="shared" si="11"/>
        <v>-1835.36</v>
      </c>
      <c r="V114" s="146">
        <f t="shared" si="16"/>
        <v>129</v>
      </c>
    </row>
    <row r="115" spans="1:22" s="144" customFormat="1" ht="12.75">
      <c r="A115" s="141" t="s">
        <v>325</v>
      </c>
      <c r="B115" s="142">
        <v>42155</v>
      </c>
      <c r="C115" s="141" t="s">
        <v>326</v>
      </c>
      <c r="D115" s="143">
        <v>668.1</v>
      </c>
      <c r="E115" s="150"/>
      <c r="F115" s="152"/>
      <c r="K115" s="147">
        <v>42171</v>
      </c>
      <c r="L115" s="147"/>
      <c r="M115" s="142">
        <v>42184</v>
      </c>
      <c r="N115" s="142">
        <f t="shared" si="7"/>
        <v>42184</v>
      </c>
      <c r="O115" s="148">
        <f t="shared" si="20"/>
        <v>13</v>
      </c>
      <c r="P115" s="148">
        <f t="shared" si="19"/>
        <v>0</v>
      </c>
      <c r="Q115" s="148">
        <f t="shared" si="8"/>
        <v>13</v>
      </c>
      <c r="R115" s="148">
        <f t="shared" si="21"/>
        <v>-17</v>
      </c>
      <c r="S115" s="146">
        <v>29</v>
      </c>
      <c r="T115" s="149">
        <f t="shared" si="10"/>
        <v>0</v>
      </c>
      <c r="U115" s="149">
        <f t="shared" si="11"/>
        <v>-11357.7</v>
      </c>
      <c r="V115" s="146">
        <f t="shared" si="16"/>
        <v>129</v>
      </c>
    </row>
    <row r="116" spans="1:22" s="144" customFormat="1" ht="12.75">
      <c r="A116" s="141" t="s">
        <v>327</v>
      </c>
      <c r="B116" s="142">
        <v>42136</v>
      </c>
      <c r="C116" s="141" t="s">
        <v>328</v>
      </c>
      <c r="D116" s="143">
        <v>12.21</v>
      </c>
      <c r="E116" s="150"/>
      <c r="F116" s="152"/>
      <c r="K116" s="147">
        <v>42171</v>
      </c>
      <c r="L116" s="147"/>
      <c r="M116" s="142">
        <v>42184</v>
      </c>
      <c r="N116" s="142">
        <f t="shared" si="7"/>
        <v>42184</v>
      </c>
      <c r="O116" s="148">
        <f t="shared" si="20"/>
        <v>13</v>
      </c>
      <c r="P116" s="148">
        <f t="shared" si="19"/>
        <v>0</v>
      </c>
      <c r="Q116" s="148">
        <f t="shared" si="8"/>
        <v>13</v>
      </c>
      <c r="R116" s="148">
        <f t="shared" si="21"/>
        <v>-17</v>
      </c>
      <c r="S116" s="146">
        <v>22</v>
      </c>
      <c r="T116" s="149">
        <f t="shared" si="10"/>
        <v>0</v>
      </c>
      <c r="U116" s="149">
        <f t="shared" si="11"/>
        <v>-207.57000000000002</v>
      </c>
      <c r="V116" s="146">
        <f t="shared" si="16"/>
        <v>122</v>
      </c>
    </row>
    <row r="117" spans="1:22" s="144" customFormat="1" ht="12.75">
      <c r="A117" s="141" t="s">
        <v>329</v>
      </c>
      <c r="B117" s="142">
        <v>42155</v>
      </c>
      <c r="C117" s="141" t="s">
        <v>330</v>
      </c>
      <c r="D117" s="143">
        <v>17.2</v>
      </c>
      <c r="E117" s="150"/>
      <c r="F117" s="152"/>
      <c r="K117" s="147">
        <v>42171</v>
      </c>
      <c r="L117" s="147"/>
      <c r="M117" s="142">
        <v>42184</v>
      </c>
      <c r="N117" s="142">
        <f t="shared" si="7"/>
        <v>42184</v>
      </c>
      <c r="O117" s="148">
        <f t="shared" si="20"/>
        <v>13</v>
      </c>
      <c r="P117" s="148">
        <f t="shared" si="19"/>
        <v>0</v>
      </c>
      <c r="Q117" s="148">
        <f t="shared" si="8"/>
        <v>13</v>
      </c>
      <c r="R117" s="148">
        <f t="shared" si="21"/>
        <v>-17</v>
      </c>
      <c r="S117" s="146">
        <v>22</v>
      </c>
      <c r="T117" s="149">
        <f t="shared" si="10"/>
        <v>0</v>
      </c>
      <c r="U117" s="149">
        <f t="shared" si="11"/>
        <v>-292.4</v>
      </c>
      <c r="V117" s="146">
        <f t="shared" si="16"/>
        <v>122</v>
      </c>
    </row>
    <row r="118" spans="1:22" s="144" customFormat="1" ht="12.75">
      <c r="A118" s="141" t="s">
        <v>331</v>
      </c>
      <c r="B118" s="142">
        <v>42155</v>
      </c>
      <c r="C118" s="141" t="s">
        <v>332</v>
      </c>
      <c r="D118" s="143">
        <v>220.7</v>
      </c>
      <c r="E118" s="150"/>
      <c r="F118" s="152"/>
      <c r="K118" s="147">
        <v>42171</v>
      </c>
      <c r="L118" s="147"/>
      <c r="M118" s="142">
        <v>42184</v>
      </c>
      <c r="N118" s="142">
        <f t="shared" si="7"/>
        <v>42184</v>
      </c>
      <c r="O118" s="148">
        <f t="shared" si="20"/>
        <v>13</v>
      </c>
      <c r="P118" s="148">
        <f t="shared" si="19"/>
        <v>0</v>
      </c>
      <c r="Q118" s="148">
        <f t="shared" si="8"/>
        <v>13</v>
      </c>
      <c r="R118" s="148">
        <f t="shared" si="21"/>
        <v>-17</v>
      </c>
      <c r="S118" s="146">
        <v>29</v>
      </c>
      <c r="T118" s="149">
        <f t="shared" si="10"/>
        <v>0</v>
      </c>
      <c r="U118" s="149">
        <f t="shared" si="11"/>
        <v>-3751.8999999999996</v>
      </c>
      <c r="V118" s="146">
        <f t="shared" si="16"/>
        <v>129</v>
      </c>
    </row>
    <row r="119" spans="1:22" s="144" customFormat="1" ht="12.75">
      <c r="A119" s="141" t="s">
        <v>333</v>
      </c>
      <c r="B119" s="142">
        <v>42170</v>
      </c>
      <c r="C119" s="141" t="s">
        <v>334</v>
      </c>
      <c r="D119" s="143">
        <v>6.28</v>
      </c>
      <c r="E119" s="150"/>
      <c r="F119" s="152"/>
      <c r="K119" s="147">
        <v>42173</v>
      </c>
      <c r="L119" s="147"/>
      <c r="M119" s="142">
        <v>42184</v>
      </c>
      <c r="N119" s="142">
        <f aca="true" t="shared" si="22" ref="N119:N130">+M119</f>
        <v>42184</v>
      </c>
      <c r="O119" s="148">
        <f t="shared" si="20"/>
        <v>11</v>
      </c>
      <c r="P119" s="148">
        <f>+N119-M119</f>
        <v>0</v>
      </c>
      <c r="Q119" s="148">
        <f t="shared" si="8"/>
        <v>11</v>
      </c>
      <c r="R119" s="148">
        <f t="shared" si="21"/>
        <v>-19</v>
      </c>
      <c r="S119" s="146">
        <v>29</v>
      </c>
      <c r="T119" s="149">
        <f t="shared" si="10"/>
        <v>0</v>
      </c>
      <c r="U119" s="149">
        <f t="shared" si="11"/>
        <v>-119.32000000000001</v>
      </c>
      <c r="V119" s="146">
        <f t="shared" si="16"/>
        <v>129</v>
      </c>
    </row>
    <row r="120" spans="1:22" s="144" customFormat="1" ht="12.75">
      <c r="A120" s="141" t="s">
        <v>335</v>
      </c>
      <c r="B120" s="142">
        <v>42170</v>
      </c>
      <c r="C120" s="141" t="s">
        <v>336</v>
      </c>
      <c r="D120" s="143">
        <v>106.6</v>
      </c>
      <c r="E120" s="150"/>
      <c r="F120" s="152"/>
      <c r="K120" s="147">
        <v>42173</v>
      </c>
      <c r="L120" s="147"/>
      <c r="M120" s="142">
        <v>42171</v>
      </c>
      <c r="N120" s="142">
        <f t="shared" si="22"/>
        <v>42171</v>
      </c>
      <c r="O120" s="148">
        <f t="shared" si="20"/>
        <v>-2</v>
      </c>
      <c r="P120" s="148">
        <f t="shared" si="19"/>
        <v>0</v>
      </c>
      <c r="Q120" s="148">
        <f t="shared" si="8"/>
        <v>-2</v>
      </c>
      <c r="R120" s="148">
        <f t="shared" si="21"/>
        <v>-32</v>
      </c>
      <c r="S120" s="146">
        <v>29</v>
      </c>
      <c r="T120" s="149">
        <f t="shared" si="10"/>
        <v>0</v>
      </c>
      <c r="U120" s="149">
        <f t="shared" si="11"/>
        <v>-3411.2</v>
      </c>
      <c r="V120" s="146">
        <f t="shared" si="16"/>
        <v>129</v>
      </c>
    </row>
    <row r="121" spans="1:22" s="144" customFormat="1" ht="12.75">
      <c r="A121" s="141" t="s">
        <v>337</v>
      </c>
      <c r="B121" s="142">
        <v>42167</v>
      </c>
      <c r="C121" s="141" t="s">
        <v>338</v>
      </c>
      <c r="D121" s="143">
        <v>356.49</v>
      </c>
      <c r="E121" s="150"/>
      <c r="F121" s="152"/>
      <c r="K121" s="147">
        <v>42174</v>
      </c>
      <c r="L121" s="147"/>
      <c r="M121" s="142">
        <v>42184</v>
      </c>
      <c r="N121" s="142">
        <f t="shared" si="22"/>
        <v>42184</v>
      </c>
      <c r="O121" s="148">
        <f t="shared" si="20"/>
        <v>10</v>
      </c>
      <c r="P121" s="148">
        <f t="shared" si="19"/>
        <v>0</v>
      </c>
      <c r="Q121" s="148">
        <f t="shared" si="8"/>
        <v>10</v>
      </c>
      <c r="R121" s="148">
        <f t="shared" si="21"/>
        <v>-20</v>
      </c>
      <c r="S121" s="146">
        <v>29</v>
      </c>
      <c r="T121" s="149">
        <f t="shared" si="10"/>
        <v>0</v>
      </c>
      <c r="U121" s="149">
        <f t="shared" si="11"/>
        <v>-7129.8</v>
      </c>
      <c r="V121" s="146">
        <f t="shared" si="16"/>
        <v>129</v>
      </c>
    </row>
    <row r="122" spans="1:22" s="146" customFormat="1" ht="12.75">
      <c r="A122" s="141" t="s">
        <v>339</v>
      </c>
      <c r="B122" s="142">
        <v>42163</v>
      </c>
      <c r="C122" s="141" t="s">
        <v>340</v>
      </c>
      <c r="D122" s="143">
        <v>48.25</v>
      </c>
      <c r="E122" s="150"/>
      <c r="F122" s="152"/>
      <c r="K122" s="147">
        <v>42174</v>
      </c>
      <c r="L122" s="156"/>
      <c r="M122" s="142">
        <v>42171</v>
      </c>
      <c r="N122" s="142">
        <f t="shared" si="22"/>
        <v>42171</v>
      </c>
      <c r="O122" s="148">
        <f t="shared" si="20"/>
        <v>-3</v>
      </c>
      <c r="P122" s="148">
        <f>+N122-M122</f>
        <v>0</v>
      </c>
      <c r="Q122" s="148">
        <f t="shared" si="8"/>
        <v>-3</v>
      </c>
      <c r="R122" s="148">
        <f t="shared" si="21"/>
        <v>-33</v>
      </c>
      <c r="S122" s="146">
        <v>29</v>
      </c>
      <c r="T122" s="149">
        <f t="shared" si="10"/>
        <v>0</v>
      </c>
      <c r="U122" s="149">
        <f t="shared" si="11"/>
        <v>-1592.25</v>
      </c>
      <c r="V122" s="146">
        <f t="shared" si="16"/>
        <v>129</v>
      </c>
    </row>
    <row r="123" spans="1:22" s="146" customFormat="1" ht="12.75">
      <c r="A123" s="141" t="s">
        <v>341</v>
      </c>
      <c r="B123" s="142">
        <v>42124</v>
      </c>
      <c r="C123" s="141" t="s">
        <v>342</v>
      </c>
      <c r="D123" s="143">
        <v>28.88</v>
      </c>
      <c r="E123" s="150"/>
      <c r="F123" s="152"/>
      <c r="K123" s="147">
        <v>42124</v>
      </c>
      <c r="L123" s="156"/>
      <c r="M123" s="142">
        <v>42156</v>
      </c>
      <c r="N123" s="142">
        <f t="shared" si="22"/>
        <v>42156</v>
      </c>
      <c r="O123" s="148">
        <f t="shared" si="20"/>
        <v>32</v>
      </c>
      <c r="P123" s="148">
        <f aca="true" t="shared" si="23" ref="P123:P138">+N123-M123</f>
        <v>0</v>
      </c>
      <c r="Q123" s="148">
        <f t="shared" si="8"/>
        <v>32</v>
      </c>
      <c r="R123" s="148">
        <f t="shared" si="21"/>
        <v>2</v>
      </c>
      <c r="S123" s="146">
        <v>29</v>
      </c>
      <c r="T123" s="149">
        <f t="shared" si="10"/>
        <v>0</v>
      </c>
      <c r="U123" s="149">
        <f t="shared" si="11"/>
        <v>57.76</v>
      </c>
      <c r="V123" s="146">
        <f t="shared" si="16"/>
        <v>129</v>
      </c>
    </row>
    <row r="124" spans="1:22" s="146" customFormat="1" ht="12.75">
      <c r="A124" s="141" t="s">
        <v>343</v>
      </c>
      <c r="B124" s="142">
        <v>42114</v>
      </c>
      <c r="C124" s="141" t="s">
        <v>344</v>
      </c>
      <c r="D124" s="143">
        <v>870</v>
      </c>
      <c r="E124" s="150"/>
      <c r="F124" s="152"/>
      <c r="K124" s="147">
        <v>42114</v>
      </c>
      <c r="L124" s="156"/>
      <c r="M124" s="142">
        <v>42184</v>
      </c>
      <c r="N124" s="142">
        <f t="shared" si="22"/>
        <v>42184</v>
      </c>
      <c r="O124" s="148">
        <f>+M124-K124</f>
        <v>70</v>
      </c>
      <c r="P124" s="148">
        <f t="shared" si="23"/>
        <v>0</v>
      </c>
      <c r="Q124" s="148">
        <f t="shared" si="8"/>
        <v>70</v>
      </c>
      <c r="R124" s="148">
        <f t="shared" si="21"/>
        <v>40</v>
      </c>
      <c r="S124" s="146">
        <v>29</v>
      </c>
      <c r="T124" s="149">
        <f t="shared" si="10"/>
        <v>0</v>
      </c>
      <c r="U124" s="149">
        <f t="shared" si="11"/>
        <v>34800</v>
      </c>
      <c r="V124" s="146">
        <f t="shared" si="16"/>
        <v>129</v>
      </c>
    </row>
    <row r="125" spans="1:22" s="144" customFormat="1" ht="12.75">
      <c r="A125" s="141" t="s">
        <v>345</v>
      </c>
      <c r="B125" s="142">
        <v>42128</v>
      </c>
      <c r="C125" s="141" t="s">
        <v>346</v>
      </c>
      <c r="D125" s="143">
        <v>1202.74</v>
      </c>
      <c r="E125" s="150"/>
      <c r="F125" s="152"/>
      <c r="K125" s="147">
        <v>42128</v>
      </c>
      <c r="L125" s="147"/>
      <c r="M125" s="142">
        <v>42184</v>
      </c>
      <c r="N125" s="142">
        <f t="shared" si="22"/>
        <v>42184</v>
      </c>
      <c r="O125" s="148">
        <f aca="true" t="shared" si="24" ref="O125:O150">+M125-K125</f>
        <v>56</v>
      </c>
      <c r="P125" s="148">
        <f t="shared" si="23"/>
        <v>0</v>
      </c>
      <c r="Q125" s="148">
        <f t="shared" si="8"/>
        <v>56</v>
      </c>
      <c r="R125" s="148">
        <f t="shared" si="21"/>
        <v>26</v>
      </c>
      <c r="S125" s="146">
        <v>29</v>
      </c>
      <c r="T125" s="149">
        <f t="shared" si="10"/>
        <v>0</v>
      </c>
      <c r="U125" s="149">
        <f t="shared" si="11"/>
        <v>31271.24</v>
      </c>
      <c r="V125" s="146">
        <f t="shared" si="16"/>
        <v>129</v>
      </c>
    </row>
    <row r="126" spans="1:22" s="144" customFormat="1" ht="12.75">
      <c r="A126" s="141" t="s">
        <v>347</v>
      </c>
      <c r="B126" s="142">
        <v>42155</v>
      </c>
      <c r="C126" s="141" t="s">
        <v>348</v>
      </c>
      <c r="D126" s="143">
        <v>409.95</v>
      </c>
      <c r="E126" s="150"/>
      <c r="F126" s="152"/>
      <c r="K126" s="147">
        <v>42184</v>
      </c>
      <c r="L126" s="147"/>
      <c r="M126" s="142">
        <v>42184</v>
      </c>
      <c r="N126" s="142">
        <f t="shared" si="22"/>
        <v>42184</v>
      </c>
      <c r="O126" s="148">
        <f t="shared" si="24"/>
        <v>0</v>
      </c>
      <c r="P126" s="148">
        <f t="shared" si="23"/>
        <v>0</v>
      </c>
      <c r="Q126" s="148">
        <f t="shared" si="8"/>
        <v>0</v>
      </c>
      <c r="R126" s="148">
        <f t="shared" si="21"/>
        <v>-30</v>
      </c>
      <c r="S126" s="146">
        <v>29</v>
      </c>
      <c r="T126" s="149">
        <f t="shared" si="10"/>
        <v>0</v>
      </c>
      <c r="U126" s="149">
        <f t="shared" si="11"/>
        <v>-12298.5</v>
      </c>
      <c r="V126" s="146">
        <f t="shared" si="16"/>
        <v>129</v>
      </c>
    </row>
    <row r="127" spans="1:22" s="144" customFormat="1" ht="12.75">
      <c r="A127" s="141" t="s">
        <v>349</v>
      </c>
      <c r="B127" s="142">
        <v>42109</v>
      </c>
      <c r="C127" s="141" t="s">
        <v>350</v>
      </c>
      <c r="D127" s="143">
        <v>391.36</v>
      </c>
      <c r="E127" s="150"/>
      <c r="F127" s="152"/>
      <c r="K127" s="147">
        <v>42109</v>
      </c>
      <c r="L127" s="147"/>
      <c r="M127" s="142">
        <v>42111</v>
      </c>
      <c r="N127" s="142">
        <f t="shared" si="22"/>
        <v>42111</v>
      </c>
      <c r="O127" s="148">
        <f t="shared" si="24"/>
        <v>2</v>
      </c>
      <c r="P127" s="148">
        <f t="shared" si="23"/>
        <v>0</v>
      </c>
      <c r="Q127" s="148">
        <f t="shared" si="8"/>
        <v>2</v>
      </c>
      <c r="R127" s="148">
        <f t="shared" si="21"/>
        <v>-28</v>
      </c>
      <c r="S127" s="146">
        <v>29</v>
      </c>
      <c r="T127" s="149">
        <f t="shared" si="10"/>
        <v>0</v>
      </c>
      <c r="U127" s="149">
        <f t="shared" si="11"/>
        <v>-10958.08</v>
      </c>
      <c r="V127" s="146">
        <f t="shared" si="16"/>
        <v>129</v>
      </c>
    </row>
    <row r="128" spans="1:22" s="144" customFormat="1" ht="12.75">
      <c r="A128" s="141" t="s">
        <v>351</v>
      </c>
      <c r="B128" s="142">
        <v>42156</v>
      </c>
      <c r="C128" s="141" t="s">
        <v>352</v>
      </c>
      <c r="D128" s="143">
        <v>60</v>
      </c>
      <c r="E128" s="150"/>
      <c r="F128" s="152"/>
      <c r="K128" s="147">
        <v>42184</v>
      </c>
      <c r="L128" s="147"/>
      <c r="M128" s="142">
        <v>42149</v>
      </c>
      <c r="N128" s="142">
        <f t="shared" si="22"/>
        <v>42149</v>
      </c>
      <c r="O128" s="148">
        <f t="shared" si="24"/>
        <v>-35</v>
      </c>
      <c r="P128" s="148">
        <f t="shared" si="23"/>
        <v>0</v>
      </c>
      <c r="Q128" s="148">
        <f t="shared" si="8"/>
        <v>-35</v>
      </c>
      <c r="R128" s="148">
        <f t="shared" si="21"/>
        <v>-65</v>
      </c>
      <c r="S128" s="146">
        <v>29</v>
      </c>
      <c r="T128" s="149">
        <f t="shared" si="10"/>
        <v>0</v>
      </c>
      <c r="U128" s="149">
        <f t="shared" si="11"/>
        <v>-3900</v>
      </c>
      <c r="V128" s="146">
        <f t="shared" si="16"/>
        <v>129</v>
      </c>
    </row>
    <row r="129" spans="1:22" s="144" customFormat="1" ht="12.75">
      <c r="A129" s="141" t="s">
        <v>353</v>
      </c>
      <c r="B129" s="142">
        <v>42132</v>
      </c>
      <c r="C129" s="141" t="s">
        <v>354</v>
      </c>
      <c r="D129" s="143">
        <v>15.65</v>
      </c>
      <c r="E129" s="150"/>
      <c r="F129" s="152"/>
      <c r="K129" s="147">
        <v>42132</v>
      </c>
      <c r="L129" s="147"/>
      <c r="M129" s="142">
        <v>42132</v>
      </c>
      <c r="N129" s="142">
        <f t="shared" si="22"/>
        <v>42132</v>
      </c>
      <c r="O129" s="148">
        <f t="shared" si="24"/>
        <v>0</v>
      </c>
      <c r="P129" s="148">
        <f t="shared" si="23"/>
        <v>0</v>
      </c>
      <c r="Q129" s="148">
        <f t="shared" si="8"/>
        <v>0</v>
      </c>
      <c r="R129" s="148">
        <f t="shared" si="21"/>
        <v>-30</v>
      </c>
      <c r="S129" s="146">
        <v>29</v>
      </c>
      <c r="T129" s="149">
        <f t="shared" si="10"/>
        <v>0</v>
      </c>
      <c r="U129" s="149">
        <f t="shared" si="11"/>
        <v>-469.5</v>
      </c>
      <c r="V129" s="146">
        <f t="shared" si="16"/>
        <v>129</v>
      </c>
    </row>
    <row r="130" spans="1:22" s="146" customFormat="1" ht="12.75">
      <c r="A130" s="141" t="s">
        <v>355</v>
      </c>
      <c r="B130" s="142">
        <v>42167</v>
      </c>
      <c r="C130" s="141" t="s">
        <v>356</v>
      </c>
      <c r="D130" s="143">
        <v>427.2</v>
      </c>
      <c r="E130" s="150"/>
      <c r="F130" s="152"/>
      <c r="K130" s="147">
        <v>42184</v>
      </c>
      <c r="L130" s="156"/>
      <c r="M130" s="142">
        <v>42171</v>
      </c>
      <c r="N130" s="142">
        <f t="shared" si="22"/>
        <v>42171</v>
      </c>
      <c r="O130" s="148">
        <f t="shared" si="24"/>
        <v>-13</v>
      </c>
      <c r="P130" s="148">
        <f t="shared" si="23"/>
        <v>0</v>
      </c>
      <c r="Q130" s="148">
        <f t="shared" si="8"/>
        <v>-13</v>
      </c>
      <c r="R130" s="148">
        <f t="shared" si="21"/>
        <v>-43</v>
      </c>
      <c r="S130" s="146">
        <v>29</v>
      </c>
      <c r="T130" s="149">
        <f t="shared" si="10"/>
        <v>0</v>
      </c>
      <c r="U130" s="149">
        <f t="shared" si="11"/>
        <v>-18369.6</v>
      </c>
      <c r="V130" s="146">
        <f t="shared" si="16"/>
        <v>129</v>
      </c>
    </row>
    <row r="131" spans="1:22" s="144" customFormat="1" ht="12.75">
      <c r="A131" s="141" t="s">
        <v>357</v>
      </c>
      <c r="B131" s="142">
        <v>42139</v>
      </c>
      <c r="C131" s="141" t="s">
        <v>358</v>
      </c>
      <c r="D131" s="143">
        <v>462.16</v>
      </c>
      <c r="E131" s="150"/>
      <c r="F131" s="152"/>
      <c r="K131" s="147">
        <v>42139</v>
      </c>
      <c r="L131" s="147"/>
      <c r="M131" s="142">
        <v>42143</v>
      </c>
      <c r="N131" s="142">
        <f>+M131</f>
        <v>42143</v>
      </c>
      <c r="O131" s="148">
        <f t="shared" si="24"/>
        <v>4</v>
      </c>
      <c r="P131" s="148">
        <f t="shared" si="23"/>
        <v>0</v>
      </c>
      <c r="Q131" s="148">
        <f t="shared" si="8"/>
        <v>4</v>
      </c>
      <c r="R131" s="148">
        <f t="shared" si="21"/>
        <v>-26</v>
      </c>
      <c r="S131" s="146">
        <v>29</v>
      </c>
      <c r="T131" s="149">
        <f t="shared" si="10"/>
        <v>0</v>
      </c>
      <c r="U131" s="149">
        <f t="shared" si="11"/>
        <v>-12016.16</v>
      </c>
      <c r="V131" s="146">
        <f t="shared" si="16"/>
        <v>129</v>
      </c>
    </row>
    <row r="132" spans="1:22" s="144" customFormat="1" ht="12.75">
      <c r="A132" s="141" t="s">
        <v>359</v>
      </c>
      <c r="B132" s="142">
        <v>42124</v>
      </c>
      <c r="C132" s="141" t="s">
        <v>360</v>
      </c>
      <c r="D132" s="143">
        <v>52.27</v>
      </c>
      <c r="E132" s="150"/>
      <c r="F132" s="152"/>
      <c r="K132" s="147">
        <v>42124</v>
      </c>
      <c r="L132" s="147"/>
      <c r="M132" s="142">
        <v>42156</v>
      </c>
      <c r="N132" s="142">
        <f aca="true" t="shared" si="25" ref="N132:N145">+M132</f>
        <v>42156</v>
      </c>
      <c r="O132" s="148">
        <f t="shared" si="24"/>
        <v>32</v>
      </c>
      <c r="P132" s="148">
        <f t="shared" si="23"/>
        <v>0</v>
      </c>
      <c r="Q132" s="148">
        <f t="shared" si="8"/>
        <v>32</v>
      </c>
      <c r="R132" s="148">
        <f t="shared" si="21"/>
        <v>2</v>
      </c>
      <c r="S132" s="146">
        <v>22</v>
      </c>
      <c r="T132" s="149">
        <f t="shared" si="10"/>
        <v>0</v>
      </c>
      <c r="U132" s="149">
        <f t="shared" si="11"/>
        <v>104.54</v>
      </c>
      <c r="V132" s="146">
        <f t="shared" si="16"/>
        <v>122</v>
      </c>
    </row>
    <row r="133" spans="1:22" s="146" customFormat="1" ht="12.75">
      <c r="A133" s="141" t="s">
        <v>361</v>
      </c>
      <c r="B133" s="142">
        <v>42163</v>
      </c>
      <c r="C133" s="141" t="s">
        <v>362</v>
      </c>
      <c r="D133" s="143">
        <v>35.48</v>
      </c>
      <c r="E133" s="150"/>
      <c r="F133" s="152"/>
      <c r="K133" s="147">
        <v>42184</v>
      </c>
      <c r="L133" s="156"/>
      <c r="M133" s="142">
        <v>42171</v>
      </c>
      <c r="N133" s="142">
        <f t="shared" si="25"/>
        <v>42171</v>
      </c>
      <c r="O133" s="148">
        <f t="shared" si="24"/>
        <v>-13</v>
      </c>
      <c r="P133" s="148">
        <f t="shared" si="23"/>
        <v>0</v>
      </c>
      <c r="Q133" s="148">
        <f t="shared" si="8"/>
        <v>-13</v>
      </c>
      <c r="R133" s="148">
        <f t="shared" si="21"/>
        <v>-43</v>
      </c>
      <c r="S133" s="146">
        <v>29</v>
      </c>
      <c r="T133" s="149">
        <f t="shared" si="10"/>
        <v>0</v>
      </c>
      <c r="U133" s="149">
        <f t="shared" si="11"/>
        <v>-1525.6399999999999</v>
      </c>
      <c r="V133" s="146">
        <f t="shared" si="16"/>
        <v>129</v>
      </c>
    </row>
    <row r="134" spans="1:22" s="146" customFormat="1" ht="12.75">
      <c r="A134" s="141" t="s">
        <v>363</v>
      </c>
      <c r="B134" s="142">
        <v>42163</v>
      </c>
      <c r="C134" s="141" t="s">
        <v>364</v>
      </c>
      <c r="D134" s="143">
        <v>67.16</v>
      </c>
      <c r="E134" s="150"/>
      <c r="F134" s="152"/>
      <c r="K134" s="147">
        <v>42184</v>
      </c>
      <c r="L134" s="156"/>
      <c r="M134" s="142">
        <v>42171</v>
      </c>
      <c r="N134" s="142">
        <f t="shared" si="25"/>
        <v>42171</v>
      </c>
      <c r="O134" s="148">
        <f t="shared" si="24"/>
        <v>-13</v>
      </c>
      <c r="P134" s="148">
        <f t="shared" si="23"/>
        <v>0</v>
      </c>
      <c r="Q134" s="148">
        <f t="shared" si="8"/>
        <v>-13</v>
      </c>
      <c r="R134" s="148">
        <f t="shared" si="21"/>
        <v>-43</v>
      </c>
      <c r="S134" s="146">
        <v>29</v>
      </c>
      <c r="T134" s="149">
        <f t="shared" si="10"/>
        <v>0</v>
      </c>
      <c r="U134" s="149">
        <f t="shared" si="11"/>
        <v>-2887.8799999999997</v>
      </c>
      <c r="V134" s="146">
        <f t="shared" si="16"/>
        <v>129</v>
      </c>
    </row>
    <row r="135" spans="1:22" s="146" customFormat="1" ht="12.75">
      <c r="A135" s="141" t="s">
        <v>367</v>
      </c>
      <c r="B135" s="142">
        <v>42174</v>
      </c>
      <c r="C135" s="141" t="s">
        <v>368</v>
      </c>
      <c r="D135" s="143">
        <v>272</v>
      </c>
      <c r="E135" s="150"/>
      <c r="F135" s="152"/>
      <c r="K135" s="147">
        <v>42185</v>
      </c>
      <c r="L135" s="156"/>
      <c r="M135" s="142">
        <v>42184</v>
      </c>
      <c r="N135" s="142">
        <f t="shared" si="25"/>
        <v>42184</v>
      </c>
      <c r="O135" s="148">
        <f t="shared" si="24"/>
        <v>-1</v>
      </c>
      <c r="P135" s="148">
        <f t="shared" si="23"/>
        <v>0</v>
      </c>
      <c r="Q135" s="148">
        <f aca="true" t="shared" si="26" ref="Q135:Q162">+N135-K135</f>
        <v>-1</v>
      </c>
      <c r="R135" s="148">
        <f t="shared" si="21"/>
        <v>-31</v>
      </c>
      <c r="S135" s="146">
        <v>22</v>
      </c>
      <c r="T135" s="149">
        <f aca="true" t="shared" si="27" ref="T135:T162">+P135*D135</f>
        <v>0</v>
      </c>
      <c r="U135" s="149">
        <f aca="true" t="shared" si="28" ref="U135:U162">+R135*D135</f>
        <v>-8432</v>
      </c>
      <c r="V135" s="146">
        <f t="shared" si="16"/>
        <v>122</v>
      </c>
    </row>
    <row r="136" spans="1:22" s="146" customFormat="1" ht="12.75">
      <c r="A136" s="141" t="s">
        <v>369</v>
      </c>
      <c r="B136" s="142">
        <v>42130</v>
      </c>
      <c r="C136" s="141" t="s">
        <v>370</v>
      </c>
      <c r="D136" s="143">
        <v>508.2</v>
      </c>
      <c r="E136" s="150"/>
      <c r="F136" s="152"/>
      <c r="K136" s="147">
        <v>42186</v>
      </c>
      <c r="L136" s="156"/>
      <c r="M136" s="142">
        <v>42132</v>
      </c>
      <c r="N136" s="142">
        <f t="shared" si="25"/>
        <v>42132</v>
      </c>
      <c r="O136" s="148">
        <f t="shared" si="24"/>
        <v>-54</v>
      </c>
      <c r="P136" s="148">
        <f t="shared" si="23"/>
        <v>0</v>
      </c>
      <c r="Q136" s="148">
        <f t="shared" si="26"/>
        <v>-54</v>
      </c>
      <c r="R136" s="148">
        <f>+Q136-30</f>
        <v>-84</v>
      </c>
      <c r="S136" s="146">
        <v>20</v>
      </c>
      <c r="T136" s="149">
        <f t="shared" si="27"/>
        <v>0</v>
      </c>
      <c r="U136" s="149">
        <f t="shared" si="28"/>
        <v>-42688.799999999996</v>
      </c>
      <c r="V136" s="146">
        <f t="shared" si="16"/>
        <v>120</v>
      </c>
    </row>
    <row r="137" spans="1:22" s="146" customFormat="1" ht="12.75">
      <c r="A137" s="141" t="s">
        <v>371</v>
      </c>
      <c r="B137" s="142">
        <v>42156</v>
      </c>
      <c r="C137" s="141" t="s">
        <v>372</v>
      </c>
      <c r="D137" s="143">
        <v>576.12</v>
      </c>
      <c r="E137" s="150"/>
      <c r="F137" s="152"/>
      <c r="K137" s="147">
        <v>42186</v>
      </c>
      <c r="L137" s="156"/>
      <c r="M137" s="142">
        <v>42156</v>
      </c>
      <c r="N137" s="142">
        <f t="shared" si="25"/>
        <v>42156</v>
      </c>
      <c r="O137" s="148">
        <f t="shared" si="24"/>
        <v>-30</v>
      </c>
      <c r="P137" s="148">
        <f t="shared" si="23"/>
        <v>0</v>
      </c>
      <c r="Q137" s="148">
        <f t="shared" si="26"/>
        <v>-30</v>
      </c>
      <c r="R137" s="148">
        <f aca="true" t="shared" si="29" ref="R137:R162">+Q137-30</f>
        <v>-60</v>
      </c>
      <c r="S137" s="146">
        <v>29</v>
      </c>
      <c r="T137" s="149">
        <f t="shared" si="27"/>
        <v>0</v>
      </c>
      <c r="U137" s="149">
        <f t="shared" si="28"/>
        <v>-34567.2</v>
      </c>
      <c r="V137" s="146">
        <f t="shared" si="16"/>
        <v>129</v>
      </c>
    </row>
    <row r="138" spans="1:22" s="146" customFormat="1" ht="12.75">
      <c r="A138" s="141" t="s">
        <v>373</v>
      </c>
      <c r="B138" s="142">
        <v>42143</v>
      </c>
      <c r="C138" s="141" t="s">
        <v>374</v>
      </c>
      <c r="D138" s="143">
        <v>-77.45</v>
      </c>
      <c r="E138" s="150"/>
      <c r="F138" s="152"/>
      <c r="K138" s="147">
        <v>42186</v>
      </c>
      <c r="L138" s="156"/>
      <c r="M138" s="142">
        <v>42152</v>
      </c>
      <c r="N138" s="142">
        <f t="shared" si="25"/>
        <v>42152</v>
      </c>
      <c r="O138" s="148">
        <f t="shared" si="24"/>
        <v>-34</v>
      </c>
      <c r="P138" s="148">
        <f t="shared" si="23"/>
        <v>0</v>
      </c>
      <c r="Q138" s="148">
        <f t="shared" si="26"/>
        <v>-34</v>
      </c>
      <c r="R138" s="148">
        <f t="shared" si="29"/>
        <v>-64</v>
      </c>
      <c r="S138" s="146">
        <v>29</v>
      </c>
      <c r="T138" s="149">
        <f t="shared" si="27"/>
        <v>0</v>
      </c>
      <c r="U138" s="149">
        <f t="shared" si="28"/>
        <v>4956.8</v>
      </c>
      <c r="V138" s="146">
        <f t="shared" si="16"/>
        <v>129</v>
      </c>
    </row>
    <row r="139" spans="1:22" s="146" customFormat="1" ht="12.75">
      <c r="A139" s="141" t="s">
        <v>375</v>
      </c>
      <c r="B139" s="142">
        <v>42143</v>
      </c>
      <c r="C139" s="141" t="s">
        <v>376</v>
      </c>
      <c r="D139" s="143">
        <v>63.31</v>
      </c>
      <c r="E139" s="150"/>
      <c r="F139" s="152"/>
      <c r="K139" s="147">
        <v>42186</v>
      </c>
      <c r="L139" s="156"/>
      <c r="M139" s="142">
        <v>42143</v>
      </c>
      <c r="N139" s="142">
        <f t="shared" si="25"/>
        <v>42143</v>
      </c>
      <c r="O139" s="148">
        <f t="shared" si="24"/>
        <v>-43</v>
      </c>
      <c r="P139" s="148">
        <f>+N139-M139</f>
        <v>0</v>
      </c>
      <c r="Q139" s="148">
        <f t="shared" si="26"/>
        <v>-43</v>
      </c>
      <c r="R139" s="148">
        <f t="shared" si="29"/>
        <v>-73</v>
      </c>
      <c r="S139" s="146">
        <v>29</v>
      </c>
      <c r="T139" s="149">
        <f t="shared" si="27"/>
        <v>0</v>
      </c>
      <c r="U139" s="149">
        <f t="shared" si="28"/>
        <v>-4621.63</v>
      </c>
      <c r="V139" s="146">
        <f t="shared" si="16"/>
        <v>129</v>
      </c>
    </row>
    <row r="140" spans="1:22" s="146" customFormat="1" ht="12.75">
      <c r="A140" s="141" t="s">
        <v>377</v>
      </c>
      <c r="B140" s="142">
        <v>42163</v>
      </c>
      <c r="C140" s="141" t="s">
        <v>378</v>
      </c>
      <c r="D140" s="143">
        <v>42.19</v>
      </c>
      <c r="E140" s="150"/>
      <c r="F140" s="152"/>
      <c r="K140" s="147">
        <v>42186</v>
      </c>
      <c r="L140" s="156"/>
      <c r="M140" s="142">
        <v>42171</v>
      </c>
      <c r="N140" s="142">
        <f t="shared" si="25"/>
        <v>42171</v>
      </c>
      <c r="O140" s="148">
        <f t="shared" si="24"/>
        <v>-15</v>
      </c>
      <c r="P140" s="148">
        <f aca="true" t="shared" si="30" ref="P140:P156">+N140-M140</f>
        <v>0</v>
      </c>
      <c r="Q140" s="148">
        <f t="shared" si="26"/>
        <v>-15</v>
      </c>
      <c r="R140" s="148">
        <f t="shared" si="29"/>
        <v>-45</v>
      </c>
      <c r="S140" s="146">
        <v>29</v>
      </c>
      <c r="T140" s="149">
        <f t="shared" si="27"/>
        <v>0</v>
      </c>
      <c r="U140" s="149">
        <f t="shared" si="28"/>
        <v>-1898.55</v>
      </c>
      <c r="V140" s="146">
        <f t="shared" si="16"/>
        <v>129</v>
      </c>
    </row>
    <row r="141" spans="1:22" s="144" customFormat="1" ht="12.75">
      <c r="A141" s="141" t="s">
        <v>379</v>
      </c>
      <c r="B141" s="142">
        <v>42156</v>
      </c>
      <c r="C141" s="141" t="s">
        <v>380</v>
      </c>
      <c r="D141" s="143">
        <v>674.09</v>
      </c>
      <c r="E141" s="150"/>
      <c r="F141" s="152"/>
      <c r="K141" s="147">
        <v>42188</v>
      </c>
      <c r="L141" s="147"/>
      <c r="M141" s="142">
        <v>42160</v>
      </c>
      <c r="N141" s="142">
        <f t="shared" si="25"/>
        <v>42160</v>
      </c>
      <c r="O141" s="148">
        <f t="shared" si="24"/>
        <v>-28</v>
      </c>
      <c r="P141" s="148">
        <f t="shared" si="30"/>
        <v>0</v>
      </c>
      <c r="Q141" s="148">
        <f t="shared" si="26"/>
        <v>-28</v>
      </c>
      <c r="R141" s="148">
        <f t="shared" si="29"/>
        <v>-58</v>
      </c>
      <c r="S141" s="146">
        <v>20</v>
      </c>
      <c r="T141" s="149">
        <f t="shared" si="27"/>
        <v>0</v>
      </c>
      <c r="U141" s="149">
        <f t="shared" si="28"/>
        <v>-39097.22</v>
      </c>
      <c r="V141" s="146">
        <f t="shared" si="16"/>
        <v>120</v>
      </c>
    </row>
    <row r="142" spans="1:22" s="144" customFormat="1" ht="12.75">
      <c r="A142" s="141" t="s">
        <v>381</v>
      </c>
      <c r="B142" s="142">
        <v>42166</v>
      </c>
      <c r="C142" s="141" t="s">
        <v>382</v>
      </c>
      <c r="D142" s="143">
        <v>231.96</v>
      </c>
      <c r="E142" s="150"/>
      <c r="F142" s="152"/>
      <c r="K142" s="147">
        <v>42188</v>
      </c>
      <c r="L142" s="147"/>
      <c r="M142" s="142">
        <v>42170</v>
      </c>
      <c r="N142" s="142">
        <f t="shared" si="25"/>
        <v>42170</v>
      </c>
      <c r="O142" s="148">
        <f t="shared" si="24"/>
        <v>-18</v>
      </c>
      <c r="P142" s="148">
        <f t="shared" si="30"/>
        <v>0</v>
      </c>
      <c r="Q142" s="148">
        <f t="shared" si="26"/>
        <v>-18</v>
      </c>
      <c r="R142" s="148">
        <f t="shared" si="29"/>
        <v>-48</v>
      </c>
      <c r="S142" s="146">
        <v>29</v>
      </c>
      <c r="T142" s="149">
        <f t="shared" si="27"/>
        <v>0</v>
      </c>
      <c r="U142" s="149">
        <f t="shared" si="28"/>
        <v>-11134.08</v>
      </c>
      <c r="V142" s="146">
        <f t="shared" si="16"/>
        <v>129</v>
      </c>
    </row>
    <row r="143" spans="1:22" s="144" customFormat="1" ht="12.75">
      <c r="A143" s="141" t="s">
        <v>383</v>
      </c>
      <c r="B143" s="142">
        <v>42170</v>
      </c>
      <c r="C143" s="141" t="s">
        <v>384</v>
      </c>
      <c r="D143" s="143">
        <v>340.98</v>
      </c>
      <c r="E143" s="150"/>
      <c r="F143" s="152"/>
      <c r="K143" s="147">
        <v>42188</v>
      </c>
      <c r="L143" s="147"/>
      <c r="M143" s="142">
        <v>42172</v>
      </c>
      <c r="N143" s="142">
        <f t="shared" si="25"/>
        <v>42172</v>
      </c>
      <c r="O143" s="148">
        <f t="shared" si="24"/>
        <v>-16</v>
      </c>
      <c r="P143" s="148">
        <f t="shared" si="30"/>
        <v>0</v>
      </c>
      <c r="Q143" s="148">
        <f t="shared" si="26"/>
        <v>-16</v>
      </c>
      <c r="R143" s="148">
        <f t="shared" si="29"/>
        <v>-46</v>
      </c>
      <c r="S143" s="146">
        <v>29</v>
      </c>
      <c r="T143" s="149">
        <f t="shared" si="27"/>
        <v>0</v>
      </c>
      <c r="U143" s="149">
        <f t="shared" si="28"/>
        <v>-15685.080000000002</v>
      </c>
      <c r="V143" s="146">
        <f aca="true" t="shared" si="31" ref="V143:V162">IF(P143&gt;30,200+S143,100+S143)</f>
        <v>129</v>
      </c>
    </row>
    <row r="144" spans="1:22" s="144" customFormat="1" ht="12.75">
      <c r="A144" s="141" t="s">
        <v>385</v>
      </c>
      <c r="B144" s="142">
        <v>42170</v>
      </c>
      <c r="C144" s="141" t="s">
        <v>386</v>
      </c>
      <c r="D144" s="143">
        <v>428.3</v>
      </c>
      <c r="E144" s="150"/>
      <c r="F144" s="152"/>
      <c r="K144" s="147">
        <v>42188</v>
      </c>
      <c r="L144" s="147"/>
      <c r="M144" s="142">
        <v>42172</v>
      </c>
      <c r="N144" s="142">
        <f t="shared" si="25"/>
        <v>42172</v>
      </c>
      <c r="O144" s="148">
        <f t="shared" si="24"/>
        <v>-16</v>
      </c>
      <c r="P144" s="148">
        <f t="shared" si="30"/>
        <v>0</v>
      </c>
      <c r="Q144" s="148">
        <f t="shared" si="26"/>
        <v>-16</v>
      </c>
      <c r="R144" s="148">
        <f t="shared" si="29"/>
        <v>-46</v>
      </c>
      <c r="S144" s="146">
        <v>29</v>
      </c>
      <c r="T144" s="149">
        <f t="shared" si="27"/>
        <v>0</v>
      </c>
      <c r="U144" s="149">
        <f t="shared" si="28"/>
        <v>-19701.8</v>
      </c>
      <c r="V144" s="146">
        <f t="shared" si="31"/>
        <v>129</v>
      </c>
    </row>
    <row r="145" spans="1:22" s="144" customFormat="1" ht="12.75">
      <c r="A145" s="141" t="s">
        <v>387</v>
      </c>
      <c r="B145" s="142">
        <v>42155</v>
      </c>
      <c r="C145" s="141" t="s">
        <v>388</v>
      </c>
      <c r="D145" s="143">
        <v>1668.35</v>
      </c>
      <c r="E145" s="150"/>
      <c r="F145" s="152"/>
      <c r="K145" s="147">
        <v>42188</v>
      </c>
      <c r="L145" s="147"/>
      <c r="M145" s="142">
        <v>42157</v>
      </c>
      <c r="N145" s="142">
        <f t="shared" si="25"/>
        <v>42157</v>
      </c>
      <c r="O145" s="148">
        <f t="shared" si="24"/>
        <v>-31</v>
      </c>
      <c r="P145" s="148">
        <f t="shared" si="30"/>
        <v>0</v>
      </c>
      <c r="Q145" s="148">
        <f t="shared" si="26"/>
        <v>-31</v>
      </c>
      <c r="R145" s="148">
        <f t="shared" si="29"/>
        <v>-61</v>
      </c>
      <c r="S145" s="146">
        <v>29</v>
      </c>
      <c r="T145" s="149">
        <f t="shared" si="27"/>
        <v>0</v>
      </c>
      <c r="U145" s="149">
        <f t="shared" si="28"/>
        <v>-101769.34999999999</v>
      </c>
      <c r="V145" s="146">
        <f t="shared" si="31"/>
        <v>129</v>
      </c>
    </row>
    <row r="146" spans="1:22" s="144" customFormat="1" ht="12.75">
      <c r="A146" s="141" t="s">
        <v>389</v>
      </c>
      <c r="B146" s="142">
        <v>42155</v>
      </c>
      <c r="C146" s="141" t="s">
        <v>390</v>
      </c>
      <c r="D146" s="143">
        <v>144.91</v>
      </c>
      <c r="E146" s="150"/>
      <c r="F146" s="152"/>
      <c r="K146" s="147">
        <v>42188</v>
      </c>
      <c r="L146" s="147"/>
      <c r="M146" s="142">
        <v>42160</v>
      </c>
      <c r="N146" s="142">
        <f>+M146</f>
        <v>42160</v>
      </c>
      <c r="O146" s="148">
        <f t="shared" si="24"/>
        <v>-28</v>
      </c>
      <c r="P146" s="148">
        <f t="shared" si="30"/>
        <v>0</v>
      </c>
      <c r="Q146" s="148">
        <f t="shared" si="26"/>
        <v>-28</v>
      </c>
      <c r="R146" s="148">
        <f t="shared" si="29"/>
        <v>-58</v>
      </c>
      <c r="S146" s="146">
        <v>29</v>
      </c>
      <c r="T146" s="149">
        <f t="shared" si="27"/>
        <v>0</v>
      </c>
      <c r="U146" s="149">
        <f t="shared" si="28"/>
        <v>-8404.78</v>
      </c>
      <c r="V146" s="146">
        <f t="shared" si="31"/>
        <v>129</v>
      </c>
    </row>
    <row r="147" spans="1:22" s="144" customFormat="1" ht="12.75">
      <c r="A147" s="141" t="s">
        <v>391</v>
      </c>
      <c r="B147" s="142">
        <v>42177</v>
      </c>
      <c r="C147" s="141" t="s">
        <v>392</v>
      </c>
      <c r="D147" s="143">
        <v>293.95</v>
      </c>
      <c r="E147" s="150"/>
      <c r="F147" s="152"/>
      <c r="K147" s="147">
        <v>42195</v>
      </c>
      <c r="L147" s="147"/>
      <c r="M147" s="142">
        <v>42174</v>
      </c>
      <c r="N147" s="142">
        <f aca="true" t="shared" si="32" ref="N147:N162">+M147</f>
        <v>42174</v>
      </c>
      <c r="O147" s="148">
        <f t="shared" si="24"/>
        <v>-21</v>
      </c>
      <c r="P147" s="148">
        <f t="shared" si="30"/>
        <v>0</v>
      </c>
      <c r="Q147" s="148">
        <f t="shared" si="26"/>
        <v>-21</v>
      </c>
      <c r="R147" s="148">
        <f t="shared" si="29"/>
        <v>-51</v>
      </c>
      <c r="S147" s="146">
        <v>69</v>
      </c>
      <c r="T147" s="149">
        <f t="shared" si="27"/>
        <v>0</v>
      </c>
      <c r="U147" s="149">
        <f t="shared" si="28"/>
        <v>-14991.449999999999</v>
      </c>
      <c r="V147" s="146">
        <f t="shared" si="31"/>
        <v>169</v>
      </c>
    </row>
    <row r="148" spans="1:22" s="144" customFormat="1" ht="12.75">
      <c r="A148" s="141" t="s">
        <v>393</v>
      </c>
      <c r="B148" s="142">
        <v>42159</v>
      </c>
      <c r="C148" s="141" t="s">
        <v>394</v>
      </c>
      <c r="D148" s="143">
        <v>151.31</v>
      </c>
      <c r="E148" s="150"/>
      <c r="F148" s="152"/>
      <c r="K148" s="147">
        <v>42195</v>
      </c>
      <c r="L148" s="147"/>
      <c r="M148" s="142">
        <v>42165</v>
      </c>
      <c r="N148" s="142">
        <f t="shared" si="32"/>
        <v>42165</v>
      </c>
      <c r="O148" s="148">
        <f t="shared" si="24"/>
        <v>-30</v>
      </c>
      <c r="P148" s="148">
        <f t="shared" si="30"/>
        <v>0</v>
      </c>
      <c r="Q148" s="148">
        <f t="shared" si="26"/>
        <v>-30</v>
      </c>
      <c r="R148" s="148">
        <f t="shared" si="29"/>
        <v>-60</v>
      </c>
      <c r="S148" s="146">
        <v>29</v>
      </c>
      <c r="T148" s="149">
        <f t="shared" si="27"/>
        <v>0</v>
      </c>
      <c r="U148" s="149">
        <f t="shared" si="28"/>
        <v>-9078.6</v>
      </c>
      <c r="V148" s="146">
        <f t="shared" si="31"/>
        <v>129</v>
      </c>
    </row>
    <row r="149" spans="1:22" s="144" customFormat="1" ht="12.75">
      <c r="A149" s="141" t="s">
        <v>395</v>
      </c>
      <c r="B149" s="142">
        <v>42159</v>
      </c>
      <c r="C149" s="141" t="s">
        <v>396</v>
      </c>
      <c r="D149" s="143">
        <v>491.19</v>
      </c>
      <c r="E149" s="150"/>
      <c r="F149" s="152"/>
      <c r="K149" s="147">
        <v>42195</v>
      </c>
      <c r="L149" s="147"/>
      <c r="M149" s="142">
        <v>42165</v>
      </c>
      <c r="N149" s="142">
        <f t="shared" si="32"/>
        <v>42165</v>
      </c>
      <c r="O149" s="148">
        <f t="shared" si="24"/>
        <v>-30</v>
      </c>
      <c r="P149" s="148">
        <f t="shared" si="30"/>
        <v>0</v>
      </c>
      <c r="Q149" s="148">
        <f t="shared" si="26"/>
        <v>-30</v>
      </c>
      <c r="R149" s="148">
        <f t="shared" si="29"/>
        <v>-60</v>
      </c>
      <c r="S149" s="146">
        <v>29</v>
      </c>
      <c r="T149" s="149">
        <f t="shared" si="27"/>
        <v>0</v>
      </c>
      <c r="U149" s="149">
        <f t="shared" si="28"/>
        <v>-29471.4</v>
      </c>
      <c r="V149" s="146">
        <f t="shared" si="31"/>
        <v>129</v>
      </c>
    </row>
    <row r="150" spans="1:22" s="144" customFormat="1" ht="12.75">
      <c r="A150" s="141" t="s">
        <v>397</v>
      </c>
      <c r="B150" s="142">
        <v>42159</v>
      </c>
      <c r="C150" s="141" t="s">
        <v>398</v>
      </c>
      <c r="D150" s="143">
        <v>75.07</v>
      </c>
      <c r="E150" s="150"/>
      <c r="F150" s="152"/>
      <c r="K150" s="147">
        <v>42195</v>
      </c>
      <c r="L150" s="147"/>
      <c r="M150" s="142">
        <v>42165</v>
      </c>
      <c r="N150" s="142">
        <f t="shared" si="32"/>
        <v>42165</v>
      </c>
      <c r="O150" s="148">
        <f t="shared" si="24"/>
        <v>-30</v>
      </c>
      <c r="P150" s="148">
        <f t="shared" si="30"/>
        <v>0</v>
      </c>
      <c r="Q150" s="148">
        <f t="shared" si="26"/>
        <v>-30</v>
      </c>
      <c r="R150" s="148">
        <f t="shared" si="29"/>
        <v>-60</v>
      </c>
      <c r="S150" s="146">
        <v>29</v>
      </c>
      <c r="T150" s="149">
        <f t="shared" si="27"/>
        <v>0</v>
      </c>
      <c r="U150" s="149">
        <f t="shared" si="28"/>
        <v>-4504.2</v>
      </c>
      <c r="V150" s="146">
        <f t="shared" si="31"/>
        <v>129</v>
      </c>
    </row>
    <row r="151" spans="1:22" s="144" customFormat="1" ht="12.75">
      <c r="A151" s="141" t="s">
        <v>399</v>
      </c>
      <c r="B151" s="142">
        <v>42159</v>
      </c>
      <c r="C151" s="141" t="s">
        <v>400</v>
      </c>
      <c r="D151" s="143">
        <v>990.31</v>
      </c>
      <c r="E151" s="150"/>
      <c r="F151" s="152"/>
      <c r="K151" s="147">
        <v>42195</v>
      </c>
      <c r="L151" s="147"/>
      <c r="M151" s="142">
        <v>42165</v>
      </c>
      <c r="N151" s="142">
        <f t="shared" si="32"/>
        <v>42165</v>
      </c>
      <c r="O151" s="148">
        <f>+M151-K151</f>
        <v>-30</v>
      </c>
      <c r="P151" s="148">
        <f t="shared" si="30"/>
        <v>0</v>
      </c>
      <c r="Q151" s="148">
        <f t="shared" si="26"/>
        <v>-30</v>
      </c>
      <c r="R151" s="148">
        <f t="shared" si="29"/>
        <v>-60</v>
      </c>
      <c r="S151" s="146">
        <v>29</v>
      </c>
      <c r="T151" s="149">
        <f t="shared" si="27"/>
        <v>0</v>
      </c>
      <c r="U151" s="149">
        <f t="shared" si="28"/>
        <v>-59418.6</v>
      </c>
      <c r="V151" s="146">
        <f t="shared" si="31"/>
        <v>129</v>
      </c>
    </row>
    <row r="152" spans="1:22" s="146" customFormat="1" ht="12.75">
      <c r="A152" s="141" t="s">
        <v>401</v>
      </c>
      <c r="B152" s="142">
        <v>42111</v>
      </c>
      <c r="C152" s="141" t="s">
        <v>402</v>
      </c>
      <c r="D152" s="143">
        <v>10.29</v>
      </c>
      <c r="E152" s="150"/>
      <c r="F152" s="152"/>
      <c r="K152" s="147">
        <v>42111</v>
      </c>
      <c r="L152" s="156"/>
      <c r="M152" s="142">
        <v>42110</v>
      </c>
      <c r="N152" s="142">
        <f t="shared" si="32"/>
        <v>42110</v>
      </c>
      <c r="O152" s="148">
        <f aca="true" t="shared" si="33" ref="O152:O162">+M152-K152</f>
        <v>-1</v>
      </c>
      <c r="P152" s="148">
        <f t="shared" si="30"/>
        <v>0</v>
      </c>
      <c r="Q152" s="148">
        <f t="shared" si="26"/>
        <v>-1</v>
      </c>
      <c r="R152" s="148">
        <f t="shared" si="29"/>
        <v>-31</v>
      </c>
      <c r="S152" s="146">
        <v>21</v>
      </c>
      <c r="T152" s="149">
        <f t="shared" si="27"/>
        <v>0</v>
      </c>
      <c r="U152" s="149">
        <f t="shared" si="28"/>
        <v>-318.98999999999995</v>
      </c>
      <c r="V152" s="146">
        <f t="shared" si="31"/>
        <v>121</v>
      </c>
    </row>
    <row r="153" spans="1:22" s="146" customFormat="1" ht="12.75">
      <c r="A153" s="141" t="s">
        <v>403</v>
      </c>
      <c r="B153" s="142">
        <v>42159</v>
      </c>
      <c r="C153" s="141" t="s">
        <v>404</v>
      </c>
      <c r="D153" s="143">
        <v>72.65</v>
      </c>
      <c r="E153" s="150"/>
      <c r="F153" s="152"/>
      <c r="K153" s="147">
        <v>42195</v>
      </c>
      <c r="L153" s="156"/>
      <c r="M153" s="142">
        <v>42165</v>
      </c>
      <c r="N153" s="142">
        <f t="shared" si="32"/>
        <v>42165</v>
      </c>
      <c r="O153" s="148">
        <f t="shared" si="33"/>
        <v>-30</v>
      </c>
      <c r="P153" s="148">
        <f t="shared" si="30"/>
        <v>0</v>
      </c>
      <c r="Q153" s="148">
        <f t="shared" si="26"/>
        <v>-30</v>
      </c>
      <c r="R153" s="148">
        <f t="shared" si="29"/>
        <v>-60</v>
      </c>
      <c r="S153" s="146">
        <v>29</v>
      </c>
      <c r="T153" s="149">
        <f t="shared" si="27"/>
        <v>0</v>
      </c>
      <c r="U153" s="149">
        <f t="shared" si="28"/>
        <v>-4359</v>
      </c>
      <c r="V153" s="146">
        <f t="shared" si="31"/>
        <v>129</v>
      </c>
    </row>
    <row r="154" spans="1:22" s="144" customFormat="1" ht="12.75">
      <c r="A154" s="141" t="s">
        <v>405</v>
      </c>
      <c r="B154" s="142">
        <v>42110</v>
      </c>
      <c r="C154" s="141" t="s">
        <v>406</v>
      </c>
      <c r="D154" s="143">
        <v>637.02</v>
      </c>
      <c r="E154" s="150"/>
      <c r="F154" s="152"/>
      <c r="K154" s="147">
        <v>42110</v>
      </c>
      <c r="L154" s="147"/>
      <c r="M154" s="142">
        <v>42114</v>
      </c>
      <c r="N154" s="142">
        <f t="shared" si="32"/>
        <v>42114</v>
      </c>
      <c r="O154" s="148">
        <f t="shared" si="33"/>
        <v>4</v>
      </c>
      <c r="P154" s="148">
        <f t="shared" si="30"/>
        <v>0</v>
      </c>
      <c r="Q154" s="148">
        <f t="shared" si="26"/>
        <v>4</v>
      </c>
      <c r="R154" s="148">
        <f t="shared" si="29"/>
        <v>-26</v>
      </c>
      <c r="S154" s="146">
        <v>29</v>
      </c>
      <c r="T154" s="149">
        <f t="shared" si="27"/>
        <v>0</v>
      </c>
      <c r="U154" s="149">
        <f t="shared" si="28"/>
        <v>-16562.52</v>
      </c>
      <c r="V154" s="146">
        <f t="shared" si="31"/>
        <v>129</v>
      </c>
    </row>
    <row r="155" spans="1:22" s="144" customFormat="1" ht="12.75">
      <c r="A155" s="141" t="s">
        <v>407</v>
      </c>
      <c r="B155" s="142">
        <v>42156</v>
      </c>
      <c r="C155" s="141" t="s">
        <v>408</v>
      </c>
      <c r="D155" s="143">
        <v>50.22</v>
      </c>
      <c r="E155" s="150"/>
      <c r="F155" s="152"/>
      <c r="K155" s="147">
        <v>42195</v>
      </c>
      <c r="L155" s="147"/>
      <c r="M155" s="142">
        <v>42156</v>
      </c>
      <c r="N155" s="142">
        <f t="shared" si="32"/>
        <v>42156</v>
      </c>
      <c r="O155" s="148">
        <f t="shared" si="33"/>
        <v>-39</v>
      </c>
      <c r="P155" s="148">
        <f t="shared" si="30"/>
        <v>0</v>
      </c>
      <c r="Q155" s="148">
        <f t="shared" si="26"/>
        <v>-39</v>
      </c>
      <c r="R155" s="148">
        <f t="shared" si="29"/>
        <v>-69</v>
      </c>
      <c r="S155" s="146">
        <v>21</v>
      </c>
      <c r="T155" s="149">
        <f t="shared" si="27"/>
        <v>0</v>
      </c>
      <c r="U155" s="149">
        <f t="shared" si="28"/>
        <v>-3465.18</v>
      </c>
      <c r="V155" s="146">
        <f t="shared" si="31"/>
        <v>121</v>
      </c>
    </row>
    <row r="156" spans="1:22" s="144" customFormat="1" ht="12.75">
      <c r="A156" s="141" t="s">
        <v>409</v>
      </c>
      <c r="B156" s="142">
        <v>42125</v>
      </c>
      <c r="C156" s="141" t="s">
        <v>410</v>
      </c>
      <c r="D156" s="143">
        <v>50.22</v>
      </c>
      <c r="E156" s="150"/>
      <c r="F156" s="152"/>
      <c r="K156" s="147">
        <v>42195</v>
      </c>
      <c r="L156" s="147"/>
      <c r="M156" s="142">
        <v>42128</v>
      </c>
      <c r="N156" s="142">
        <f t="shared" si="32"/>
        <v>42128</v>
      </c>
      <c r="O156" s="148">
        <f t="shared" si="33"/>
        <v>-67</v>
      </c>
      <c r="P156" s="148">
        <f t="shared" si="30"/>
        <v>0</v>
      </c>
      <c r="Q156" s="148">
        <f t="shared" si="26"/>
        <v>-67</v>
      </c>
      <c r="R156" s="148">
        <f t="shared" si="29"/>
        <v>-97</v>
      </c>
      <c r="S156" s="146">
        <v>21</v>
      </c>
      <c r="T156" s="149">
        <f t="shared" si="27"/>
        <v>0</v>
      </c>
      <c r="U156" s="149">
        <f t="shared" si="28"/>
        <v>-4871.34</v>
      </c>
      <c r="V156" s="146">
        <f t="shared" si="31"/>
        <v>121</v>
      </c>
    </row>
    <row r="157" spans="1:22" s="144" customFormat="1" ht="12.75">
      <c r="A157" s="141" t="s">
        <v>411</v>
      </c>
      <c r="B157" s="142">
        <v>42167</v>
      </c>
      <c r="C157" s="141" t="s">
        <v>412</v>
      </c>
      <c r="D157" s="143">
        <v>333.14</v>
      </c>
      <c r="E157" s="150"/>
      <c r="F157" s="152"/>
      <c r="K157" s="147">
        <v>42195</v>
      </c>
      <c r="L157" s="147"/>
      <c r="M157" s="142">
        <v>42171</v>
      </c>
      <c r="N157" s="142">
        <f t="shared" si="32"/>
        <v>42171</v>
      </c>
      <c r="O157" s="148">
        <f t="shared" si="33"/>
        <v>-24</v>
      </c>
      <c r="P157" s="148">
        <f aca="true" t="shared" si="34" ref="P157:P162">+N157-M157</f>
        <v>0</v>
      </c>
      <c r="Q157" s="148">
        <f t="shared" si="26"/>
        <v>-24</v>
      </c>
      <c r="R157" s="148">
        <f t="shared" si="29"/>
        <v>-54</v>
      </c>
      <c r="S157" s="146">
        <v>29</v>
      </c>
      <c r="T157" s="149">
        <f t="shared" si="27"/>
        <v>0</v>
      </c>
      <c r="U157" s="149">
        <f t="shared" si="28"/>
        <v>-17989.559999999998</v>
      </c>
      <c r="V157" s="146">
        <f t="shared" si="31"/>
        <v>129</v>
      </c>
    </row>
    <row r="158" spans="1:22" s="144" customFormat="1" ht="12.75">
      <c r="A158" s="141" t="s">
        <v>413</v>
      </c>
      <c r="B158" s="142">
        <v>42142</v>
      </c>
      <c r="C158" s="141" t="s">
        <v>414</v>
      </c>
      <c r="D158" s="143">
        <v>363.02</v>
      </c>
      <c r="E158" s="150"/>
      <c r="F158" s="152"/>
      <c r="K158" s="147">
        <v>42195</v>
      </c>
      <c r="L158" s="147"/>
      <c r="M158" s="142">
        <v>42144</v>
      </c>
      <c r="N158" s="142">
        <f t="shared" si="32"/>
        <v>42144</v>
      </c>
      <c r="O158" s="148">
        <f t="shared" si="33"/>
        <v>-51</v>
      </c>
      <c r="P158" s="148">
        <f t="shared" si="34"/>
        <v>0</v>
      </c>
      <c r="Q158" s="148">
        <f t="shared" si="26"/>
        <v>-51</v>
      </c>
      <c r="R158" s="148">
        <f t="shared" si="29"/>
        <v>-81</v>
      </c>
      <c r="S158" s="146">
        <v>29</v>
      </c>
      <c r="T158" s="149">
        <f t="shared" si="27"/>
        <v>0</v>
      </c>
      <c r="U158" s="149">
        <f t="shared" si="28"/>
        <v>-29404.62</v>
      </c>
      <c r="V158" s="146">
        <f t="shared" si="31"/>
        <v>129</v>
      </c>
    </row>
    <row r="159" spans="1:22" s="144" customFormat="1" ht="12.75">
      <c r="A159" s="141" t="s">
        <v>415</v>
      </c>
      <c r="B159" s="142">
        <v>42170</v>
      </c>
      <c r="C159" s="141" t="s">
        <v>416</v>
      </c>
      <c r="D159" s="143">
        <v>470.64</v>
      </c>
      <c r="E159" s="150"/>
      <c r="F159" s="152"/>
      <c r="K159" s="147">
        <v>42195</v>
      </c>
      <c r="L159" s="147"/>
      <c r="M159" s="142">
        <v>42178</v>
      </c>
      <c r="N159" s="142">
        <f t="shared" si="32"/>
        <v>42178</v>
      </c>
      <c r="O159" s="148">
        <f t="shared" si="33"/>
        <v>-17</v>
      </c>
      <c r="P159" s="148">
        <f t="shared" si="34"/>
        <v>0</v>
      </c>
      <c r="Q159" s="148">
        <f t="shared" si="26"/>
        <v>-17</v>
      </c>
      <c r="R159" s="148">
        <f t="shared" si="29"/>
        <v>-47</v>
      </c>
      <c r="S159" s="146">
        <v>21</v>
      </c>
      <c r="T159" s="149">
        <f t="shared" si="27"/>
        <v>0</v>
      </c>
      <c r="U159" s="149">
        <f t="shared" si="28"/>
        <v>-22120.079999999998</v>
      </c>
      <c r="V159" s="146">
        <f t="shared" si="31"/>
        <v>121</v>
      </c>
    </row>
    <row r="160" spans="1:22" s="144" customFormat="1" ht="12.75">
      <c r="A160" s="141" t="s">
        <v>417</v>
      </c>
      <c r="B160" s="142">
        <v>42139</v>
      </c>
      <c r="C160" s="141" t="s">
        <v>418</v>
      </c>
      <c r="D160" s="143">
        <v>48.4</v>
      </c>
      <c r="E160" s="150"/>
      <c r="F160" s="152"/>
      <c r="K160" s="147">
        <v>42195</v>
      </c>
      <c r="L160" s="147"/>
      <c r="M160" s="142">
        <v>42150</v>
      </c>
      <c r="N160" s="142">
        <f t="shared" si="32"/>
        <v>42150</v>
      </c>
      <c r="O160" s="148">
        <f t="shared" si="33"/>
        <v>-45</v>
      </c>
      <c r="P160" s="148">
        <f t="shared" si="34"/>
        <v>0</v>
      </c>
      <c r="Q160" s="148">
        <f t="shared" si="26"/>
        <v>-45</v>
      </c>
      <c r="R160" s="148">
        <f t="shared" si="29"/>
        <v>-75</v>
      </c>
      <c r="S160" s="146">
        <v>21</v>
      </c>
      <c r="T160" s="149">
        <f t="shared" si="27"/>
        <v>0</v>
      </c>
      <c r="U160" s="149">
        <f t="shared" si="28"/>
        <v>-3630</v>
      </c>
      <c r="V160" s="146">
        <f t="shared" si="31"/>
        <v>121</v>
      </c>
    </row>
    <row r="161" spans="1:22" s="146" customFormat="1" ht="12.75">
      <c r="A161" s="164" t="s">
        <v>427</v>
      </c>
      <c r="B161" s="165">
        <v>42165</v>
      </c>
      <c r="C161" s="164" t="s">
        <v>428</v>
      </c>
      <c r="D161" s="166">
        <v>17.95</v>
      </c>
      <c r="K161" s="156">
        <v>42170</v>
      </c>
      <c r="L161" s="156"/>
      <c r="M161" s="156">
        <v>42184</v>
      </c>
      <c r="N161" s="156">
        <f t="shared" si="32"/>
        <v>42184</v>
      </c>
      <c r="O161" s="157">
        <f t="shared" si="33"/>
        <v>14</v>
      </c>
      <c r="P161" s="157">
        <f t="shared" si="34"/>
        <v>0</v>
      </c>
      <c r="Q161" s="157">
        <f t="shared" si="26"/>
        <v>14</v>
      </c>
      <c r="R161" s="157">
        <f t="shared" si="29"/>
        <v>-16</v>
      </c>
      <c r="S161" s="146">
        <v>29</v>
      </c>
      <c r="T161" s="158">
        <f t="shared" si="27"/>
        <v>0</v>
      </c>
      <c r="U161" s="158">
        <f t="shared" si="28"/>
        <v>-287.2</v>
      </c>
      <c r="V161" s="146">
        <f t="shared" si="31"/>
        <v>129</v>
      </c>
    </row>
    <row r="162" spans="1:22" s="146" customFormat="1" ht="12.75">
      <c r="A162" s="164" t="s">
        <v>429</v>
      </c>
      <c r="B162" s="165">
        <v>42155</v>
      </c>
      <c r="C162" s="164" t="s">
        <v>430</v>
      </c>
      <c r="D162" s="166">
        <v>163.83</v>
      </c>
      <c r="K162" s="156">
        <v>42184</v>
      </c>
      <c r="L162" s="156"/>
      <c r="M162" s="156">
        <v>42185</v>
      </c>
      <c r="N162" s="156">
        <f t="shared" si="32"/>
        <v>42185</v>
      </c>
      <c r="O162" s="157">
        <f t="shared" si="33"/>
        <v>1</v>
      </c>
      <c r="P162" s="157">
        <f t="shared" si="34"/>
        <v>0</v>
      </c>
      <c r="Q162" s="157">
        <f t="shared" si="26"/>
        <v>1</v>
      </c>
      <c r="R162" s="157">
        <f t="shared" si="29"/>
        <v>-29</v>
      </c>
      <c r="S162" s="146">
        <v>29</v>
      </c>
      <c r="T162" s="158">
        <f t="shared" si="27"/>
        <v>0</v>
      </c>
      <c r="U162" s="158">
        <f t="shared" si="28"/>
        <v>-4751.070000000001</v>
      </c>
      <c r="V162" s="146">
        <f t="shared" si="31"/>
        <v>129</v>
      </c>
    </row>
    <row r="163" spans="5:6" ht="12.75">
      <c r="E163" s="140"/>
      <c r="F163" s="139"/>
    </row>
    <row r="164" spans="5:6" ht="12.75">
      <c r="E164" s="140"/>
      <c r="F164" s="139"/>
    </row>
    <row r="165" spans="5:6" ht="12.75">
      <c r="E165" s="140"/>
      <c r="F165" s="139"/>
    </row>
    <row r="166" spans="5:6" ht="12.75">
      <c r="E166" s="140"/>
      <c r="F166" s="139"/>
    </row>
    <row r="167" spans="5:6" ht="12.75">
      <c r="E167" s="140"/>
      <c r="F167" s="139"/>
    </row>
    <row r="168" spans="5:6" ht="12.75">
      <c r="E168" s="140"/>
      <c r="F168" s="139"/>
    </row>
    <row r="169" ht="11.25">
      <c r="E169" s="1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6.42187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6"/>
      <c r="C1" s="4"/>
      <c r="D1" s="7"/>
      <c r="E1" s="4"/>
      <c r="F1" s="4"/>
      <c r="G1" s="119" t="s">
        <v>101</v>
      </c>
      <c r="H1" s="4"/>
      <c r="I1" s="4"/>
      <c r="J1" s="4"/>
      <c r="O1" s="96"/>
      <c r="P1" s="96" t="s">
        <v>100</v>
      </c>
      <c r="Q1" s="115">
        <v>42094</v>
      </c>
    </row>
    <row r="3" spans="1:22" ht="38.25" customHeight="1">
      <c r="A3" s="5" t="s">
        <v>75</v>
      </c>
      <c r="B3" s="17" t="s">
        <v>70</v>
      </c>
      <c r="C3" s="6" t="s">
        <v>86</v>
      </c>
      <c r="D3" s="116" t="s">
        <v>44</v>
      </c>
      <c r="E3" s="5" t="s">
        <v>85</v>
      </c>
      <c r="F3" s="118" t="s">
        <v>71</v>
      </c>
      <c r="G3" s="118" t="s">
        <v>72</v>
      </c>
      <c r="H3" s="6" t="s">
        <v>83</v>
      </c>
      <c r="I3" s="6" t="s">
        <v>84</v>
      </c>
      <c r="J3" s="118" t="s">
        <v>73</v>
      </c>
      <c r="K3" s="117" t="s">
        <v>74</v>
      </c>
      <c r="L3" s="15" t="s">
        <v>76</v>
      </c>
      <c r="M3" s="15" t="s">
        <v>92</v>
      </c>
      <c r="N3" s="15" t="s">
        <v>93</v>
      </c>
      <c r="O3" s="10" t="s">
        <v>77</v>
      </c>
      <c r="P3" s="11" t="s">
        <v>87</v>
      </c>
      <c r="Q3" s="12" t="s">
        <v>88</v>
      </c>
      <c r="R3" s="13" t="s">
        <v>50</v>
      </c>
      <c r="S3" s="2" t="s">
        <v>94</v>
      </c>
      <c r="T3" s="8" t="s">
        <v>95</v>
      </c>
      <c r="U3" s="8" t="s">
        <v>96</v>
      </c>
      <c r="V3" s="2" t="s">
        <v>97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U55"/>
  <sheetViews>
    <sheetView zoomScalePageLayoutView="0" workbookViewId="0" topLeftCell="A16">
      <selection activeCell="R15" sqref="R15"/>
    </sheetView>
  </sheetViews>
  <sheetFormatPr defaultColWidth="9.140625" defaultRowHeight="12.75"/>
  <cols>
    <col min="1" max="1" width="16.7109375" style="2" customWidth="1"/>
    <col min="2" max="2" width="10.14062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4" width="9.140625" style="14" customWidth="1"/>
    <col min="15" max="15" width="9.140625" style="9" customWidth="1"/>
    <col min="16" max="16" width="9.8515625" style="9" bestFit="1" customWidth="1"/>
    <col min="17" max="17" width="9.8515625" style="2" bestFit="1" customWidth="1"/>
    <col min="18" max="19" width="15.57421875" style="8" bestFit="1" customWidth="1"/>
    <col min="20" max="22" width="9.140625" style="2" customWidth="1"/>
    <col min="23" max="141" width="9.140625" style="134" customWidth="1"/>
    <col min="142" max="16384" width="9.140625" style="2" customWidth="1"/>
  </cols>
  <sheetData>
    <row r="2" ht="11.25">
      <c r="D2" s="127" t="s">
        <v>103</v>
      </c>
    </row>
    <row r="3" spans="1:17" ht="11.25">
      <c r="A3" s="3" t="s">
        <v>81</v>
      </c>
      <c r="B3" s="16"/>
      <c r="C3" s="4"/>
      <c r="D3" s="126" t="s">
        <v>102</v>
      </c>
      <c r="E3" s="4"/>
      <c r="F3" s="4"/>
      <c r="G3" s="4"/>
      <c r="H3" s="4"/>
      <c r="I3" s="4"/>
      <c r="J3" s="4"/>
      <c r="N3" s="97"/>
      <c r="O3" s="96"/>
      <c r="P3" s="96" t="s">
        <v>100</v>
      </c>
      <c r="Q3" s="115">
        <v>42185</v>
      </c>
    </row>
    <row r="5" spans="1:20" ht="38.25" customHeight="1">
      <c r="A5" s="5" t="s">
        <v>75</v>
      </c>
      <c r="B5" s="17" t="s">
        <v>70</v>
      </c>
      <c r="C5" s="6" t="s">
        <v>86</v>
      </c>
      <c r="D5" s="116" t="s">
        <v>44</v>
      </c>
      <c r="E5" s="5" t="s">
        <v>85</v>
      </c>
      <c r="F5" s="125" t="s">
        <v>71</v>
      </c>
      <c r="G5" s="125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1" t="s">
        <v>82</v>
      </c>
      <c r="P5" s="13" t="s">
        <v>50</v>
      </c>
      <c r="Q5" s="132" t="s">
        <v>98</v>
      </c>
      <c r="R5" s="8" t="s">
        <v>95</v>
      </c>
      <c r="S5" s="8" t="s">
        <v>96</v>
      </c>
      <c r="T5" s="2" t="s">
        <v>99</v>
      </c>
    </row>
    <row r="6" spans="1:21" s="134" customFormat="1" ht="12.75">
      <c r="A6" s="159" t="s">
        <v>423</v>
      </c>
      <c r="B6" s="162">
        <v>42118</v>
      </c>
      <c r="C6" s="159" t="s">
        <v>424</v>
      </c>
      <c r="D6" s="161">
        <v>108</v>
      </c>
      <c r="K6" s="97">
        <v>42118</v>
      </c>
      <c r="L6" s="97"/>
      <c r="M6" s="97" t="s">
        <v>511</v>
      </c>
      <c r="N6" s="97" t="str">
        <f aca="true" t="shared" si="0" ref="N6:N51">+M6</f>
        <v>90 egunetara</v>
      </c>
      <c r="O6" s="96">
        <f>+Q3-K6</f>
        <v>67</v>
      </c>
      <c r="P6" s="96">
        <f>+O6-30</f>
        <v>37</v>
      </c>
      <c r="Q6" s="96">
        <v>2</v>
      </c>
      <c r="R6" s="135">
        <f>+O6*D6</f>
        <v>7236</v>
      </c>
      <c r="S6" s="135">
        <f>+P6*D6</f>
        <v>3996</v>
      </c>
      <c r="T6" s="135"/>
      <c r="U6" s="135"/>
    </row>
    <row r="7" spans="1:21" s="134" customFormat="1" ht="12.75">
      <c r="A7" s="159" t="s">
        <v>425</v>
      </c>
      <c r="B7" s="162">
        <v>42139</v>
      </c>
      <c r="C7" s="159" t="s">
        <v>426</v>
      </c>
      <c r="D7" s="161">
        <v>853.2</v>
      </c>
      <c r="K7" s="97">
        <v>42163</v>
      </c>
      <c r="L7" s="97"/>
      <c r="M7" s="97" t="s">
        <v>512</v>
      </c>
      <c r="N7" s="97" t="str">
        <f t="shared" si="0"/>
        <v>giro 15/7</v>
      </c>
      <c r="O7" s="96">
        <f>+Q3-K7</f>
        <v>22</v>
      </c>
      <c r="P7" s="96">
        <f>+O7-30</f>
        <v>-8</v>
      </c>
      <c r="Q7" s="96">
        <v>2</v>
      </c>
      <c r="R7" s="135">
        <f>+D7*O7</f>
        <v>18770.4</v>
      </c>
      <c r="S7" s="135">
        <f aca="true" t="shared" si="1" ref="S7:S51">+P7*D7</f>
        <v>-6825.6</v>
      </c>
      <c r="T7" s="135"/>
      <c r="U7" s="135"/>
    </row>
    <row r="8" spans="1:21" s="134" customFormat="1" ht="12.75">
      <c r="A8" s="159" t="s">
        <v>431</v>
      </c>
      <c r="B8" s="162">
        <v>42177</v>
      </c>
      <c r="C8" s="159" t="s">
        <v>432</v>
      </c>
      <c r="D8" s="161">
        <v>40.14</v>
      </c>
      <c r="K8" s="97">
        <v>42184</v>
      </c>
      <c r="L8" s="97"/>
      <c r="M8" s="97" t="s">
        <v>513</v>
      </c>
      <c r="N8" s="97" t="str">
        <f t="shared" si="0"/>
        <v>giro 22/7</v>
      </c>
      <c r="O8" s="96">
        <f>+Q3-K8</f>
        <v>1</v>
      </c>
      <c r="P8" s="96">
        <f aca="true" t="shared" si="2" ref="P8:P50">+O8-30</f>
        <v>-29</v>
      </c>
      <c r="Q8" s="96">
        <v>2</v>
      </c>
      <c r="R8" s="135">
        <f aca="true" t="shared" si="3" ref="R8:R51">+D8*O8</f>
        <v>40.14</v>
      </c>
      <c r="S8" s="135">
        <f t="shared" si="1"/>
        <v>-1164.06</v>
      </c>
      <c r="T8" s="135"/>
      <c r="U8" s="135"/>
    </row>
    <row r="9" spans="1:21" s="134" customFormat="1" ht="12.75">
      <c r="A9" s="159" t="s">
        <v>433</v>
      </c>
      <c r="B9" s="162">
        <v>42143</v>
      </c>
      <c r="C9" s="159" t="s">
        <v>434</v>
      </c>
      <c r="D9" s="161">
        <v>180.29</v>
      </c>
      <c r="K9" s="97">
        <v>42143</v>
      </c>
      <c r="L9" s="97"/>
      <c r="M9" s="137">
        <v>42201</v>
      </c>
      <c r="N9" s="137">
        <f t="shared" si="0"/>
        <v>42201</v>
      </c>
      <c r="O9" s="96">
        <f>+Q3-K9</f>
        <v>42</v>
      </c>
      <c r="P9" s="96">
        <f t="shared" si="2"/>
        <v>12</v>
      </c>
      <c r="Q9" s="96">
        <v>6</v>
      </c>
      <c r="R9" s="135">
        <f t="shared" si="3"/>
        <v>7572.179999999999</v>
      </c>
      <c r="S9" s="135">
        <f t="shared" si="1"/>
        <v>2163.48</v>
      </c>
      <c r="T9" s="135"/>
      <c r="U9" s="135"/>
    </row>
    <row r="10" spans="1:21" s="134" customFormat="1" ht="12.75">
      <c r="A10" s="159" t="s">
        <v>435</v>
      </c>
      <c r="B10" s="162">
        <v>42152</v>
      </c>
      <c r="C10" s="159" t="s">
        <v>436</v>
      </c>
      <c r="D10" s="161">
        <v>634.04</v>
      </c>
      <c r="E10" s="160"/>
      <c r="F10" s="161"/>
      <c r="G10" s="159"/>
      <c r="K10" s="97">
        <v>42186</v>
      </c>
      <c r="L10" s="97"/>
      <c r="M10" s="137">
        <v>42201</v>
      </c>
      <c r="N10" s="137">
        <f t="shared" si="0"/>
        <v>42201</v>
      </c>
      <c r="O10" s="96">
        <f>+Q3-K10</f>
        <v>-1</v>
      </c>
      <c r="P10" s="96">
        <f t="shared" si="2"/>
        <v>-31</v>
      </c>
      <c r="Q10" s="96">
        <v>6</v>
      </c>
      <c r="R10" s="135">
        <f t="shared" si="3"/>
        <v>-634.04</v>
      </c>
      <c r="S10" s="135">
        <f t="shared" si="1"/>
        <v>-19655.239999999998</v>
      </c>
      <c r="T10" s="135"/>
      <c r="U10" s="135"/>
    </row>
    <row r="11" spans="1:21" s="134" customFormat="1" ht="12.75">
      <c r="A11" s="159" t="s">
        <v>437</v>
      </c>
      <c r="B11" s="162">
        <v>42160</v>
      </c>
      <c r="C11" s="159" t="s">
        <v>438</v>
      </c>
      <c r="D11" s="161">
        <v>1161.6</v>
      </c>
      <c r="G11" s="159"/>
      <c r="K11" s="97">
        <v>42186</v>
      </c>
      <c r="L11" s="97"/>
      <c r="M11" s="137">
        <v>42201</v>
      </c>
      <c r="N11" s="137">
        <f t="shared" si="0"/>
        <v>42201</v>
      </c>
      <c r="O11" s="96">
        <f>+Q3-K11</f>
        <v>-1</v>
      </c>
      <c r="P11" s="96">
        <f t="shared" si="2"/>
        <v>-31</v>
      </c>
      <c r="Q11" s="96">
        <v>6</v>
      </c>
      <c r="R11" s="135">
        <f t="shared" si="3"/>
        <v>-1161.6</v>
      </c>
      <c r="S11" s="135">
        <f t="shared" si="1"/>
        <v>-36009.6</v>
      </c>
      <c r="T11" s="135"/>
      <c r="U11" s="135"/>
    </row>
    <row r="12" spans="1:21" s="134" customFormat="1" ht="12.75">
      <c r="A12" s="159" t="s">
        <v>439</v>
      </c>
      <c r="B12" s="162">
        <v>42172</v>
      </c>
      <c r="C12" s="159" t="s">
        <v>440</v>
      </c>
      <c r="D12" s="161">
        <v>181.51</v>
      </c>
      <c r="G12" s="159"/>
      <c r="K12" s="97">
        <v>42186</v>
      </c>
      <c r="L12" s="97"/>
      <c r="M12" s="137">
        <v>42201</v>
      </c>
      <c r="N12" s="137">
        <f t="shared" si="0"/>
        <v>42201</v>
      </c>
      <c r="O12" s="96">
        <f>+Q3-K12</f>
        <v>-1</v>
      </c>
      <c r="P12" s="96">
        <f t="shared" si="2"/>
        <v>-31</v>
      </c>
      <c r="Q12" s="96">
        <v>6</v>
      </c>
      <c r="R12" s="135">
        <f t="shared" si="3"/>
        <v>-181.51</v>
      </c>
      <c r="S12" s="135">
        <f t="shared" si="1"/>
        <v>-5626.8099999999995</v>
      </c>
      <c r="T12" s="135"/>
      <c r="U12" s="135"/>
    </row>
    <row r="13" spans="1:21" s="134" customFormat="1" ht="12.75">
      <c r="A13" s="159" t="s">
        <v>441</v>
      </c>
      <c r="B13" s="162">
        <v>42185</v>
      </c>
      <c r="C13" s="159" t="s">
        <v>442</v>
      </c>
      <c r="D13" s="161">
        <v>429.55</v>
      </c>
      <c r="G13" s="159"/>
      <c r="K13" s="97">
        <v>42186</v>
      </c>
      <c r="L13" s="97"/>
      <c r="M13" s="137">
        <v>42201</v>
      </c>
      <c r="N13" s="137">
        <f t="shared" si="0"/>
        <v>42201</v>
      </c>
      <c r="O13" s="96">
        <f>+Q3-K13</f>
        <v>-1</v>
      </c>
      <c r="P13" s="96">
        <f t="shared" si="2"/>
        <v>-31</v>
      </c>
      <c r="Q13" s="96">
        <v>2</v>
      </c>
      <c r="R13" s="135">
        <f t="shared" si="3"/>
        <v>-429.55</v>
      </c>
      <c r="S13" s="135">
        <f t="shared" si="1"/>
        <v>-13316.050000000001</v>
      </c>
      <c r="T13" s="135"/>
      <c r="U13" s="135"/>
    </row>
    <row r="14" spans="1:21" s="134" customFormat="1" ht="12.75">
      <c r="A14" s="159" t="s">
        <v>443</v>
      </c>
      <c r="B14" s="162">
        <v>42157</v>
      </c>
      <c r="C14" s="159" t="s">
        <v>444</v>
      </c>
      <c r="D14" s="161">
        <v>129.64</v>
      </c>
      <c r="G14" s="159"/>
      <c r="K14" s="97">
        <v>42191</v>
      </c>
      <c r="L14" s="97"/>
      <c r="M14" s="137">
        <v>42201</v>
      </c>
      <c r="N14" s="137">
        <f t="shared" si="0"/>
        <v>42201</v>
      </c>
      <c r="O14" s="96">
        <f>+Q3-K14</f>
        <v>-6</v>
      </c>
      <c r="P14" s="96">
        <f t="shared" si="2"/>
        <v>-36</v>
      </c>
      <c r="Q14" s="96">
        <v>2</v>
      </c>
      <c r="R14" s="135">
        <f t="shared" si="3"/>
        <v>-777.8399999999999</v>
      </c>
      <c r="S14" s="135">
        <f t="shared" si="1"/>
        <v>-4667.039999999999</v>
      </c>
      <c r="T14" s="135"/>
      <c r="U14" s="135"/>
    </row>
    <row r="15" spans="1:21" s="134" customFormat="1" ht="12.75">
      <c r="A15" s="159" t="s">
        <v>445</v>
      </c>
      <c r="B15" s="162">
        <v>42171</v>
      </c>
      <c r="C15" s="159" t="s">
        <v>446</v>
      </c>
      <c r="D15" s="161">
        <v>108.91</v>
      </c>
      <c r="G15" s="159"/>
      <c r="K15" s="97">
        <v>42191</v>
      </c>
      <c r="L15" s="97"/>
      <c r="M15" s="137">
        <v>42201</v>
      </c>
      <c r="N15" s="137">
        <f t="shared" si="0"/>
        <v>42201</v>
      </c>
      <c r="O15" s="96">
        <f>+Q3-K15</f>
        <v>-6</v>
      </c>
      <c r="P15" s="96">
        <f t="shared" si="2"/>
        <v>-36</v>
      </c>
      <c r="Q15" s="96">
        <v>2</v>
      </c>
      <c r="R15" s="135">
        <f t="shared" si="3"/>
        <v>-653.46</v>
      </c>
      <c r="S15" s="135">
        <f t="shared" si="1"/>
        <v>-3920.7599999999998</v>
      </c>
      <c r="T15" s="135"/>
      <c r="U15" s="135"/>
    </row>
    <row r="16" spans="1:21" s="136" customFormat="1" ht="12.75">
      <c r="A16" s="159" t="s">
        <v>447</v>
      </c>
      <c r="B16" s="162">
        <v>42169</v>
      </c>
      <c r="C16" s="159" t="s">
        <v>448</v>
      </c>
      <c r="D16" s="161">
        <v>30.6</v>
      </c>
      <c r="G16" s="159"/>
      <c r="H16" s="134"/>
      <c r="I16" s="134"/>
      <c r="J16" s="134"/>
      <c r="K16" s="97">
        <v>42191</v>
      </c>
      <c r="L16" s="97"/>
      <c r="M16" s="137">
        <v>42201</v>
      </c>
      <c r="N16" s="137">
        <f t="shared" si="0"/>
        <v>42201</v>
      </c>
      <c r="O16" s="96">
        <f>+Q3-K16</f>
        <v>-6</v>
      </c>
      <c r="P16" s="96">
        <f t="shared" si="2"/>
        <v>-36</v>
      </c>
      <c r="Q16" s="96">
        <v>2</v>
      </c>
      <c r="R16" s="135">
        <f t="shared" si="3"/>
        <v>-183.60000000000002</v>
      </c>
      <c r="S16" s="135">
        <f t="shared" si="1"/>
        <v>-1101.6000000000001</v>
      </c>
      <c r="T16" s="138"/>
      <c r="U16" s="138"/>
    </row>
    <row r="17" spans="1:21" s="134" customFormat="1" ht="12.75">
      <c r="A17" s="159" t="s">
        <v>449</v>
      </c>
      <c r="B17" s="162">
        <v>42169</v>
      </c>
      <c r="C17" s="159" t="s">
        <v>450</v>
      </c>
      <c r="D17" s="161">
        <v>30.6</v>
      </c>
      <c r="G17" s="159"/>
      <c r="K17" s="97">
        <v>42191</v>
      </c>
      <c r="L17" s="97"/>
      <c r="M17" s="137">
        <v>42201</v>
      </c>
      <c r="N17" s="137">
        <f t="shared" si="0"/>
        <v>42201</v>
      </c>
      <c r="O17" s="96">
        <f>+Q3-K17</f>
        <v>-6</v>
      </c>
      <c r="P17" s="96">
        <f t="shared" si="2"/>
        <v>-36</v>
      </c>
      <c r="Q17" s="96">
        <v>2</v>
      </c>
      <c r="R17" s="135">
        <f t="shared" si="3"/>
        <v>-183.60000000000002</v>
      </c>
      <c r="S17" s="135">
        <f t="shared" si="1"/>
        <v>-1101.6000000000001</v>
      </c>
      <c r="T17" s="135"/>
      <c r="U17" s="135"/>
    </row>
    <row r="18" spans="1:21" s="134" customFormat="1" ht="12.75">
      <c r="A18" s="159" t="s">
        <v>451</v>
      </c>
      <c r="B18" s="162">
        <v>42169</v>
      </c>
      <c r="C18" s="159" t="s">
        <v>452</v>
      </c>
      <c r="D18" s="161">
        <v>35.6</v>
      </c>
      <c r="G18" s="159"/>
      <c r="K18" s="97">
        <v>42191</v>
      </c>
      <c r="L18" s="97"/>
      <c r="M18" s="137">
        <v>42201</v>
      </c>
      <c r="N18" s="137">
        <f t="shared" si="0"/>
        <v>42201</v>
      </c>
      <c r="O18" s="96">
        <f>+Q3-K18</f>
        <v>-6</v>
      </c>
      <c r="P18" s="96">
        <f t="shared" si="2"/>
        <v>-36</v>
      </c>
      <c r="Q18" s="96">
        <v>2</v>
      </c>
      <c r="R18" s="135">
        <f t="shared" si="3"/>
        <v>-213.60000000000002</v>
      </c>
      <c r="S18" s="135">
        <f t="shared" si="1"/>
        <v>-1281.6000000000001</v>
      </c>
      <c r="T18" s="135"/>
      <c r="U18" s="135"/>
    </row>
    <row r="19" spans="1:21" s="134" customFormat="1" ht="12.75">
      <c r="A19" s="159" t="s">
        <v>453</v>
      </c>
      <c r="B19" s="162">
        <v>42169</v>
      </c>
      <c r="C19" s="159" t="s">
        <v>454</v>
      </c>
      <c r="D19" s="161">
        <v>38</v>
      </c>
      <c r="G19" s="159"/>
      <c r="K19" s="97">
        <v>42191</v>
      </c>
      <c r="L19" s="97"/>
      <c r="M19" s="137">
        <v>42201</v>
      </c>
      <c r="N19" s="137">
        <f t="shared" si="0"/>
        <v>42201</v>
      </c>
      <c r="O19" s="96">
        <f>+Q3-K19</f>
        <v>-6</v>
      </c>
      <c r="P19" s="96">
        <f t="shared" si="2"/>
        <v>-36</v>
      </c>
      <c r="Q19" s="96">
        <v>2</v>
      </c>
      <c r="R19" s="135">
        <f t="shared" si="3"/>
        <v>-228</v>
      </c>
      <c r="S19" s="135">
        <f t="shared" si="1"/>
        <v>-1368</v>
      </c>
      <c r="T19" s="135"/>
      <c r="U19" s="135"/>
    </row>
    <row r="20" spans="1:21" s="136" customFormat="1" ht="12.75">
      <c r="A20" s="159" t="s">
        <v>455</v>
      </c>
      <c r="B20" s="162">
        <v>42169</v>
      </c>
      <c r="C20" s="159" t="s">
        <v>456</v>
      </c>
      <c r="D20" s="161">
        <v>39.6</v>
      </c>
      <c r="G20" s="159"/>
      <c r="H20" s="134"/>
      <c r="I20" s="134"/>
      <c r="J20" s="134"/>
      <c r="K20" s="97">
        <v>42191</v>
      </c>
      <c r="L20" s="97"/>
      <c r="M20" s="137">
        <v>42201</v>
      </c>
      <c r="N20" s="137">
        <f t="shared" si="0"/>
        <v>42201</v>
      </c>
      <c r="O20" s="96">
        <f>+Q3-K20</f>
        <v>-6</v>
      </c>
      <c r="P20" s="96">
        <f t="shared" si="2"/>
        <v>-36</v>
      </c>
      <c r="Q20" s="96">
        <v>2</v>
      </c>
      <c r="R20" s="135">
        <f t="shared" si="3"/>
        <v>-237.60000000000002</v>
      </c>
      <c r="S20" s="135">
        <f t="shared" si="1"/>
        <v>-1425.6000000000001</v>
      </c>
      <c r="T20" s="138"/>
      <c r="U20" s="138"/>
    </row>
    <row r="21" spans="1:21" s="136" customFormat="1" ht="12.75">
      <c r="A21" s="159" t="s">
        <v>457</v>
      </c>
      <c r="B21" s="162">
        <v>42153</v>
      </c>
      <c r="C21" s="159" t="s">
        <v>458</v>
      </c>
      <c r="D21" s="161">
        <v>153.57</v>
      </c>
      <c r="G21" s="159"/>
      <c r="H21" s="134"/>
      <c r="I21" s="134"/>
      <c r="J21" s="134"/>
      <c r="K21" s="97">
        <v>42191</v>
      </c>
      <c r="L21" s="97"/>
      <c r="M21" s="137" t="s">
        <v>514</v>
      </c>
      <c r="N21" s="137" t="str">
        <f t="shared" si="0"/>
        <v>giro 29/7</v>
      </c>
      <c r="O21" s="96">
        <f>+Q3-K21</f>
        <v>-6</v>
      </c>
      <c r="P21" s="96">
        <f t="shared" si="2"/>
        <v>-36</v>
      </c>
      <c r="Q21" s="96">
        <v>2</v>
      </c>
      <c r="R21" s="135">
        <f t="shared" si="3"/>
        <v>-921.42</v>
      </c>
      <c r="S21" s="135">
        <f t="shared" si="1"/>
        <v>-5528.5199999999995</v>
      </c>
      <c r="T21" s="138"/>
      <c r="U21" s="138"/>
    </row>
    <row r="22" spans="1:19" ht="12.75">
      <c r="A22" s="159" t="s">
        <v>459</v>
      </c>
      <c r="B22" s="162">
        <v>42165</v>
      </c>
      <c r="C22" s="159" t="s">
        <v>460</v>
      </c>
      <c r="D22" s="161">
        <v>1059.09</v>
      </c>
      <c r="G22" s="159"/>
      <c r="K22" s="14">
        <v>42192</v>
      </c>
      <c r="M22" s="163" t="s">
        <v>512</v>
      </c>
      <c r="N22" s="163" t="str">
        <f t="shared" si="0"/>
        <v>giro 15/7</v>
      </c>
      <c r="O22" s="96">
        <f>+Q3-K22</f>
        <v>-7</v>
      </c>
      <c r="P22" s="96">
        <f t="shared" si="2"/>
        <v>-37</v>
      </c>
      <c r="Q22" s="96">
        <v>2</v>
      </c>
      <c r="R22" s="135">
        <f t="shared" si="3"/>
        <v>-7413.629999999999</v>
      </c>
      <c r="S22" s="135">
        <f t="shared" si="1"/>
        <v>-39186.329999999994</v>
      </c>
    </row>
    <row r="23" spans="1:19" ht="12.75">
      <c r="A23" s="159" t="s">
        <v>461</v>
      </c>
      <c r="B23" s="162">
        <v>42185</v>
      </c>
      <c r="C23" s="159" t="s">
        <v>120</v>
      </c>
      <c r="D23" s="161">
        <v>10</v>
      </c>
      <c r="G23" s="159"/>
      <c r="K23" s="14">
        <v>42192</v>
      </c>
      <c r="M23" s="163">
        <v>42201</v>
      </c>
      <c r="N23" s="163">
        <f t="shared" si="0"/>
        <v>42201</v>
      </c>
      <c r="O23" s="96">
        <f>+Q3-K23</f>
        <v>-7</v>
      </c>
      <c r="P23" s="96">
        <f t="shared" si="2"/>
        <v>-37</v>
      </c>
      <c r="Q23" s="96">
        <v>2</v>
      </c>
      <c r="R23" s="135">
        <f t="shared" si="3"/>
        <v>-70</v>
      </c>
      <c r="S23" s="135">
        <f t="shared" si="1"/>
        <v>-370</v>
      </c>
    </row>
    <row r="24" spans="1:19" ht="12.75">
      <c r="A24" s="159" t="s">
        <v>462</v>
      </c>
      <c r="B24" s="162">
        <v>42185</v>
      </c>
      <c r="C24" s="159" t="s">
        <v>463</v>
      </c>
      <c r="D24" s="161">
        <v>225.9</v>
      </c>
      <c r="G24" s="159"/>
      <c r="K24" s="14">
        <v>42192</v>
      </c>
      <c r="M24" s="163">
        <v>42201</v>
      </c>
      <c r="N24" s="163">
        <f t="shared" si="0"/>
        <v>42201</v>
      </c>
      <c r="O24" s="96">
        <f>+Q3-K24</f>
        <v>-7</v>
      </c>
      <c r="P24" s="96">
        <f t="shared" si="2"/>
        <v>-37</v>
      </c>
      <c r="Q24" s="96">
        <v>2</v>
      </c>
      <c r="R24" s="135">
        <f t="shared" si="3"/>
        <v>-1581.3</v>
      </c>
      <c r="S24" s="135">
        <f t="shared" si="1"/>
        <v>-8358.300000000001</v>
      </c>
    </row>
    <row r="25" spans="1:19" ht="12.75">
      <c r="A25" s="159" t="s">
        <v>464</v>
      </c>
      <c r="B25" s="162">
        <v>42151</v>
      </c>
      <c r="C25" s="159" t="s">
        <v>465</v>
      </c>
      <c r="D25" s="161">
        <v>94.31</v>
      </c>
      <c r="G25" s="159"/>
      <c r="K25" s="14">
        <v>42195</v>
      </c>
      <c r="M25" s="163">
        <v>42201</v>
      </c>
      <c r="N25" s="163">
        <f t="shared" si="0"/>
        <v>42201</v>
      </c>
      <c r="O25" s="96">
        <f>+Q3-K25</f>
        <v>-10</v>
      </c>
      <c r="P25" s="96">
        <f t="shared" si="2"/>
        <v>-40</v>
      </c>
      <c r="Q25" s="96">
        <v>2</v>
      </c>
      <c r="R25" s="135">
        <f t="shared" si="3"/>
        <v>-943.1</v>
      </c>
      <c r="S25" s="135">
        <f t="shared" si="1"/>
        <v>-3772.4</v>
      </c>
    </row>
    <row r="26" spans="1:19" ht="12.75">
      <c r="A26" s="159" t="s">
        <v>466</v>
      </c>
      <c r="B26" s="162">
        <v>42177</v>
      </c>
      <c r="C26" s="159" t="s">
        <v>467</v>
      </c>
      <c r="D26" s="161">
        <v>329.26</v>
      </c>
      <c r="G26" s="159"/>
      <c r="K26" s="14">
        <v>42195</v>
      </c>
      <c r="M26" s="163" t="s">
        <v>513</v>
      </c>
      <c r="N26" s="163" t="str">
        <f t="shared" si="0"/>
        <v>giro 22/7</v>
      </c>
      <c r="O26" s="96">
        <f>+Q3-K26</f>
        <v>-10</v>
      </c>
      <c r="P26" s="96">
        <f t="shared" si="2"/>
        <v>-40</v>
      </c>
      <c r="Q26" s="96">
        <v>2</v>
      </c>
      <c r="R26" s="135">
        <f t="shared" si="3"/>
        <v>-3292.6</v>
      </c>
      <c r="S26" s="135">
        <f t="shared" si="1"/>
        <v>-13170.4</v>
      </c>
    </row>
    <row r="27" spans="1:19" ht="12.75">
      <c r="A27" s="159" t="s">
        <v>468</v>
      </c>
      <c r="B27" s="162">
        <v>42185</v>
      </c>
      <c r="C27" s="159" t="s">
        <v>469</v>
      </c>
      <c r="D27" s="161">
        <v>8800</v>
      </c>
      <c r="G27" s="159"/>
      <c r="K27" s="14">
        <v>42195</v>
      </c>
      <c r="M27" s="163">
        <v>42201</v>
      </c>
      <c r="N27" s="163">
        <f t="shared" si="0"/>
        <v>42201</v>
      </c>
      <c r="O27" s="96">
        <f>+Q3-K27</f>
        <v>-10</v>
      </c>
      <c r="P27" s="96">
        <f t="shared" si="2"/>
        <v>-40</v>
      </c>
      <c r="Q27" s="96">
        <v>2</v>
      </c>
      <c r="R27" s="135">
        <f t="shared" si="3"/>
        <v>-88000</v>
      </c>
      <c r="S27" s="135">
        <f t="shared" si="1"/>
        <v>-352000</v>
      </c>
    </row>
    <row r="28" spans="1:19" ht="12.75">
      <c r="A28" s="159" t="s">
        <v>470</v>
      </c>
      <c r="B28" s="162">
        <v>42095</v>
      </c>
      <c r="C28" s="159" t="s">
        <v>471</v>
      </c>
      <c r="D28" s="161">
        <v>92</v>
      </c>
      <c r="G28" s="159"/>
      <c r="K28" s="14">
        <v>42095</v>
      </c>
      <c r="M28" s="163">
        <v>42195</v>
      </c>
      <c r="N28" s="163">
        <f t="shared" si="0"/>
        <v>42195</v>
      </c>
      <c r="O28" s="96">
        <f>+Q3-K28</f>
        <v>90</v>
      </c>
      <c r="P28" s="96">
        <f t="shared" si="2"/>
        <v>60</v>
      </c>
      <c r="Q28" s="96">
        <v>2</v>
      </c>
      <c r="R28" s="135">
        <f t="shared" si="3"/>
        <v>8280</v>
      </c>
      <c r="S28" s="135">
        <f t="shared" si="1"/>
        <v>5520</v>
      </c>
    </row>
    <row r="29" spans="1:19" ht="12.75">
      <c r="A29" s="159" t="s">
        <v>472</v>
      </c>
      <c r="B29" s="162">
        <v>42185</v>
      </c>
      <c r="C29" s="159" t="s">
        <v>473</v>
      </c>
      <c r="D29" s="161">
        <v>2750.03</v>
      </c>
      <c r="G29" s="159"/>
      <c r="K29" s="14">
        <v>42195</v>
      </c>
      <c r="M29" s="163">
        <v>42201</v>
      </c>
      <c r="N29" s="163">
        <f t="shared" si="0"/>
        <v>42201</v>
      </c>
      <c r="O29" s="96">
        <f>+Q3-K29</f>
        <v>-10</v>
      </c>
      <c r="P29" s="96">
        <f t="shared" si="2"/>
        <v>-40</v>
      </c>
      <c r="Q29" s="96">
        <v>2</v>
      </c>
      <c r="R29" s="135">
        <f t="shared" si="3"/>
        <v>-27500.300000000003</v>
      </c>
      <c r="S29" s="135">
        <f t="shared" si="1"/>
        <v>-110001.20000000001</v>
      </c>
    </row>
    <row r="30" spans="1:19" ht="12.75">
      <c r="A30" s="159" t="s">
        <v>474</v>
      </c>
      <c r="B30" s="162">
        <v>42185</v>
      </c>
      <c r="C30" s="159" t="s">
        <v>475</v>
      </c>
      <c r="D30" s="161">
        <v>2590.17</v>
      </c>
      <c r="G30" s="159"/>
      <c r="K30" s="14">
        <v>42195</v>
      </c>
      <c r="M30" s="163">
        <v>42201</v>
      </c>
      <c r="N30" s="163">
        <f t="shared" si="0"/>
        <v>42201</v>
      </c>
      <c r="O30" s="96">
        <f>+Q3-K30</f>
        <v>-10</v>
      </c>
      <c r="P30" s="96">
        <f t="shared" si="2"/>
        <v>-40</v>
      </c>
      <c r="Q30" s="96">
        <v>2</v>
      </c>
      <c r="R30" s="135">
        <f t="shared" si="3"/>
        <v>-25901.7</v>
      </c>
      <c r="S30" s="135">
        <f t="shared" si="1"/>
        <v>-103606.8</v>
      </c>
    </row>
    <row r="31" spans="1:19" ht="12.75">
      <c r="A31" s="159" t="s">
        <v>476</v>
      </c>
      <c r="B31" s="162">
        <v>42185</v>
      </c>
      <c r="C31" s="159" t="s">
        <v>477</v>
      </c>
      <c r="D31" s="161">
        <v>3416.57</v>
      </c>
      <c r="G31" s="159"/>
      <c r="K31" s="14">
        <v>42195</v>
      </c>
      <c r="M31" s="163" t="s">
        <v>515</v>
      </c>
      <c r="N31" s="163" t="str">
        <f t="shared" si="0"/>
        <v>giro 10/7</v>
      </c>
      <c r="O31" s="96">
        <f>+Q3-K31</f>
        <v>-10</v>
      </c>
      <c r="P31" s="96">
        <f t="shared" si="2"/>
        <v>-40</v>
      </c>
      <c r="Q31" s="96">
        <v>2</v>
      </c>
      <c r="R31" s="135">
        <f t="shared" si="3"/>
        <v>-34165.700000000004</v>
      </c>
      <c r="S31" s="135">
        <f t="shared" si="1"/>
        <v>-136662.80000000002</v>
      </c>
    </row>
    <row r="32" spans="1:19" ht="12.75">
      <c r="A32" s="159" t="s">
        <v>478</v>
      </c>
      <c r="B32" s="162">
        <v>42185</v>
      </c>
      <c r="C32" s="159" t="s">
        <v>479</v>
      </c>
      <c r="D32" s="161">
        <v>1024.87</v>
      </c>
      <c r="G32" s="159"/>
      <c r="K32" s="14">
        <v>42195</v>
      </c>
      <c r="M32" s="163">
        <v>42201</v>
      </c>
      <c r="N32" s="163">
        <f t="shared" si="0"/>
        <v>42201</v>
      </c>
      <c r="O32" s="96">
        <f>+Q3-K32</f>
        <v>-10</v>
      </c>
      <c r="P32" s="96">
        <f t="shared" si="2"/>
        <v>-40</v>
      </c>
      <c r="Q32" s="96">
        <v>2</v>
      </c>
      <c r="R32" s="135">
        <f t="shared" si="3"/>
        <v>-10248.699999999999</v>
      </c>
      <c r="S32" s="135">
        <f t="shared" si="1"/>
        <v>-40994.799999999996</v>
      </c>
    </row>
    <row r="33" spans="1:19" ht="12.75">
      <c r="A33" s="159" t="s">
        <v>480</v>
      </c>
      <c r="B33" s="162">
        <v>42149</v>
      </c>
      <c r="C33" s="159" t="s">
        <v>481</v>
      </c>
      <c r="D33" s="161">
        <v>44.77</v>
      </c>
      <c r="G33" s="159"/>
      <c r="K33" s="14">
        <v>42195</v>
      </c>
      <c r="M33" s="163">
        <v>42201</v>
      </c>
      <c r="N33" s="163">
        <f t="shared" si="0"/>
        <v>42201</v>
      </c>
      <c r="O33" s="96">
        <f>+Q3-K33</f>
        <v>-10</v>
      </c>
      <c r="P33" s="96">
        <f>+O33-30</f>
        <v>-40</v>
      </c>
      <c r="Q33" s="96">
        <v>2</v>
      </c>
      <c r="R33" s="135">
        <f t="shared" si="3"/>
        <v>-447.70000000000005</v>
      </c>
      <c r="S33" s="135">
        <f t="shared" si="1"/>
        <v>-1790.8000000000002</v>
      </c>
    </row>
    <row r="34" spans="1:19" ht="12.75">
      <c r="A34" s="159" t="s">
        <v>482</v>
      </c>
      <c r="B34" s="162">
        <v>42155</v>
      </c>
      <c r="C34" s="159" t="s">
        <v>483</v>
      </c>
      <c r="D34" s="161">
        <v>170</v>
      </c>
      <c r="G34" s="159"/>
      <c r="K34" s="14">
        <v>42195</v>
      </c>
      <c r="M34" s="163">
        <v>42201</v>
      </c>
      <c r="N34" s="163">
        <f t="shared" si="0"/>
        <v>42201</v>
      </c>
      <c r="O34" s="96">
        <f>+Q3-K34</f>
        <v>-10</v>
      </c>
      <c r="P34" s="96">
        <f t="shared" si="2"/>
        <v>-40</v>
      </c>
      <c r="Q34" s="96">
        <v>2</v>
      </c>
      <c r="R34" s="135">
        <f t="shared" si="3"/>
        <v>-1700</v>
      </c>
      <c r="S34" s="135">
        <f t="shared" si="1"/>
        <v>-6800</v>
      </c>
    </row>
    <row r="35" spans="1:19" ht="12.75">
      <c r="A35" s="159" t="s">
        <v>484</v>
      </c>
      <c r="B35" s="162">
        <v>42185</v>
      </c>
      <c r="C35" s="159" t="s">
        <v>485</v>
      </c>
      <c r="D35" s="161">
        <v>86.09</v>
      </c>
      <c r="G35" s="159"/>
      <c r="K35" s="14">
        <v>42195</v>
      </c>
      <c r="M35" s="163" t="s">
        <v>516</v>
      </c>
      <c r="N35" s="163" t="str">
        <f t="shared" si="0"/>
        <v>giro 20/7</v>
      </c>
      <c r="O35" s="96">
        <f>+Q3-K35</f>
        <v>-10</v>
      </c>
      <c r="P35" s="96">
        <f t="shared" si="2"/>
        <v>-40</v>
      </c>
      <c r="Q35" s="96">
        <v>2</v>
      </c>
      <c r="R35" s="135">
        <f t="shared" si="3"/>
        <v>-860.9000000000001</v>
      </c>
      <c r="S35" s="135">
        <f t="shared" si="1"/>
        <v>-3443.6000000000004</v>
      </c>
    </row>
    <row r="36" spans="1:19" ht="12.75">
      <c r="A36" s="159" t="s">
        <v>486</v>
      </c>
      <c r="B36" s="162">
        <v>42095</v>
      </c>
      <c r="C36" s="159" t="s">
        <v>487</v>
      </c>
      <c r="D36" s="161">
        <v>350.9</v>
      </c>
      <c r="G36" s="159"/>
      <c r="K36" s="14">
        <v>42095</v>
      </c>
      <c r="M36" s="163">
        <v>42201</v>
      </c>
      <c r="N36" s="163">
        <f t="shared" si="0"/>
        <v>42201</v>
      </c>
      <c r="O36" s="96">
        <f>+Q3-K36</f>
        <v>90</v>
      </c>
      <c r="P36" s="96">
        <f t="shared" si="2"/>
        <v>60</v>
      </c>
      <c r="Q36" s="96">
        <v>2</v>
      </c>
      <c r="R36" s="135">
        <f t="shared" si="3"/>
        <v>31580.999999999996</v>
      </c>
      <c r="S36" s="135">
        <f t="shared" si="1"/>
        <v>21054</v>
      </c>
    </row>
    <row r="37" spans="1:19" ht="12.75">
      <c r="A37" s="159" t="s">
        <v>488</v>
      </c>
      <c r="B37" s="162">
        <v>42101</v>
      </c>
      <c r="C37" s="159" t="s">
        <v>489</v>
      </c>
      <c r="D37" s="161">
        <v>2750</v>
      </c>
      <c r="G37" s="159"/>
      <c r="K37" s="14">
        <v>42101</v>
      </c>
      <c r="M37" s="163">
        <v>42201</v>
      </c>
      <c r="N37" s="163">
        <f t="shared" si="0"/>
        <v>42201</v>
      </c>
      <c r="O37" s="96">
        <f>+Q3-K37</f>
        <v>84</v>
      </c>
      <c r="P37" s="96">
        <f t="shared" si="2"/>
        <v>54</v>
      </c>
      <c r="Q37" s="96">
        <v>2</v>
      </c>
      <c r="R37" s="135">
        <f t="shared" si="3"/>
        <v>231000</v>
      </c>
      <c r="S37" s="135">
        <f t="shared" si="1"/>
        <v>148500</v>
      </c>
    </row>
    <row r="38" spans="1:19" ht="12.75">
      <c r="A38" s="159" t="s">
        <v>490</v>
      </c>
      <c r="B38" s="162">
        <v>42159</v>
      </c>
      <c r="C38" s="159" t="s">
        <v>491</v>
      </c>
      <c r="D38" s="161">
        <v>2145.94</v>
      </c>
      <c r="G38" s="159"/>
      <c r="K38" s="14">
        <v>42195</v>
      </c>
      <c r="M38" s="163">
        <v>42201</v>
      </c>
      <c r="N38" s="163">
        <f t="shared" si="0"/>
        <v>42201</v>
      </c>
      <c r="O38" s="96">
        <f>+Q3-K38</f>
        <v>-10</v>
      </c>
      <c r="P38" s="96">
        <f t="shared" si="2"/>
        <v>-40</v>
      </c>
      <c r="Q38" s="96">
        <v>2</v>
      </c>
      <c r="R38" s="135">
        <f t="shared" si="3"/>
        <v>-21459.4</v>
      </c>
      <c r="S38" s="135">
        <f t="shared" si="1"/>
        <v>-85837.6</v>
      </c>
    </row>
    <row r="39" spans="1:19" ht="12.75">
      <c r="A39" s="159" t="s">
        <v>492</v>
      </c>
      <c r="B39" s="162">
        <v>42159</v>
      </c>
      <c r="C39" s="159" t="s">
        <v>493</v>
      </c>
      <c r="D39" s="161">
        <v>2087.25</v>
      </c>
      <c r="G39" s="159"/>
      <c r="K39" s="14">
        <v>42195</v>
      </c>
      <c r="M39" s="163">
        <v>42201</v>
      </c>
      <c r="N39" s="163">
        <f t="shared" si="0"/>
        <v>42201</v>
      </c>
      <c r="O39" s="96">
        <f>+Q3-K39</f>
        <v>-10</v>
      </c>
      <c r="P39" s="96">
        <f t="shared" si="2"/>
        <v>-40</v>
      </c>
      <c r="Q39" s="96">
        <v>2</v>
      </c>
      <c r="R39" s="135">
        <f t="shared" si="3"/>
        <v>-20872.5</v>
      </c>
      <c r="S39" s="135">
        <f t="shared" si="1"/>
        <v>-83490</v>
      </c>
    </row>
    <row r="40" spans="1:19" ht="12.75">
      <c r="A40" s="159" t="s">
        <v>494</v>
      </c>
      <c r="B40" s="162">
        <v>42159</v>
      </c>
      <c r="C40" s="159" t="s">
        <v>495</v>
      </c>
      <c r="D40" s="161">
        <v>980.1</v>
      </c>
      <c r="G40" s="159"/>
      <c r="K40" s="14">
        <v>42195</v>
      </c>
      <c r="M40" s="163">
        <v>42201</v>
      </c>
      <c r="N40" s="163">
        <f t="shared" si="0"/>
        <v>42201</v>
      </c>
      <c r="O40" s="96">
        <f>+Q3-K40</f>
        <v>-10</v>
      </c>
      <c r="P40" s="96">
        <f t="shared" si="2"/>
        <v>-40</v>
      </c>
      <c r="Q40" s="96">
        <v>2</v>
      </c>
      <c r="R40" s="135">
        <f t="shared" si="3"/>
        <v>-9801</v>
      </c>
      <c r="S40" s="135">
        <f t="shared" si="1"/>
        <v>-39204</v>
      </c>
    </row>
    <row r="41" spans="1:19" ht="12.75">
      <c r="A41" s="159" t="s">
        <v>496</v>
      </c>
      <c r="B41" s="162">
        <v>42185</v>
      </c>
      <c r="C41" s="159" t="s">
        <v>497</v>
      </c>
      <c r="D41" s="161">
        <v>227.76</v>
      </c>
      <c r="G41" s="159"/>
      <c r="K41" s="14">
        <v>42195</v>
      </c>
      <c r="M41" s="163">
        <v>42201</v>
      </c>
      <c r="N41" s="163">
        <f t="shared" si="0"/>
        <v>42201</v>
      </c>
      <c r="O41" s="96">
        <f>+Q3-K41</f>
        <v>-10</v>
      </c>
      <c r="P41" s="96">
        <f t="shared" si="2"/>
        <v>-40</v>
      </c>
      <c r="Q41" s="96">
        <v>2</v>
      </c>
      <c r="R41" s="135">
        <f t="shared" si="3"/>
        <v>-2277.6</v>
      </c>
      <c r="S41" s="135">
        <f t="shared" si="1"/>
        <v>-9110.4</v>
      </c>
    </row>
    <row r="42" spans="1:19" ht="12.75">
      <c r="A42" s="159" t="s">
        <v>498</v>
      </c>
      <c r="B42" s="162">
        <v>42185</v>
      </c>
      <c r="C42" s="159" t="s">
        <v>499</v>
      </c>
      <c r="D42" s="161">
        <v>407.67</v>
      </c>
      <c r="G42" s="159"/>
      <c r="K42" s="14">
        <v>42195</v>
      </c>
      <c r="M42" s="163" t="s">
        <v>517</v>
      </c>
      <c r="N42" s="163" t="str">
        <f t="shared" si="0"/>
        <v>giro 30/8</v>
      </c>
      <c r="O42" s="96">
        <f>+Q3-K42</f>
        <v>-10</v>
      </c>
      <c r="P42" s="96">
        <f t="shared" si="2"/>
        <v>-40</v>
      </c>
      <c r="Q42" s="96">
        <v>2</v>
      </c>
      <c r="R42" s="135">
        <f t="shared" si="3"/>
        <v>-4076.7000000000003</v>
      </c>
      <c r="S42" s="135">
        <f t="shared" si="1"/>
        <v>-16306.800000000001</v>
      </c>
    </row>
    <row r="43" spans="1:19" ht="12.75">
      <c r="A43" s="159" t="s">
        <v>500</v>
      </c>
      <c r="B43" s="162">
        <v>42185</v>
      </c>
      <c r="C43" s="159" t="s">
        <v>501</v>
      </c>
      <c r="D43" s="161">
        <v>141.73</v>
      </c>
      <c r="G43" s="159"/>
      <c r="K43" s="14">
        <v>42195</v>
      </c>
      <c r="M43" s="163">
        <v>42190</v>
      </c>
      <c r="N43" s="163">
        <f t="shared" si="0"/>
        <v>42190</v>
      </c>
      <c r="O43" s="96">
        <f>+Q3-K43</f>
        <v>-10</v>
      </c>
      <c r="P43" s="96">
        <f t="shared" si="2"/>
        <v>-40</v>
      </c>
      <c r="Q43" s="96">
        <v>2</v>
      </c>
      <c r="R43" s="135">
        <f t="shared" si="3"/>
        <v>-1417.3</v>
      </c>
      <c r="S43" s="135">
        <f t="shared" si="1"/>
        <v>-5669.2</v>
      </c>
    </row>
    <row r="44" spans="1:19" ht="12.75">
      <c r="A44" s="159" t="s">
        <v>502</v>
      </c>
      <c r="B44" s="162">
        <v>42171</v>
      </c>
      <c r="C44" s="159" t="s">
        <v>503</v>
      </c>
      <c r="D44" s="161">
        <v>320</v>
      </c>
      <c r="G44" s="159"/>
      <c r="K44" s="14">
        <v>42195</v>
      </c>
      <c r="M44" s="163">
        <v>42201</v>
      </c>
      <c r="N44" s="163">
        <f t="shared" si="0"/>
        <v>42201</v>
      </c>
      <c r="O44" s="96">
        <f>+Q3-K44</f>
        <v>-10</v>
      </c>
      <c r="P44" s="96">
        <f t="shared" si="2"/>
        <v>-40</v>
      </c>
      <c r="Q44" s="96">
        <v>2</v>
      </c>
      <c r="R44" s="135">
        <f t="shared" si="3"/>
        <v>-3200</v>
      </c>
      <c r="S44" s="135">
        <f t="shared" si="1"/>
        <v>-12800</v>
      </c>
    </row>
    <row r="45" spans="1:19" ht="12.75">
      <c r="A45" s="159" t="s">
        <v>504</v>
      </c>
      <c r="B45" s="162">
        <v>42185</v>
      </c>
      <c r="C45" s="159" t="s">
        <v>505</v>
      </c>
      <c r="D45" s="161">
        <v>255.71</v>
      </c>
      <c r="G45" s="159"/>
      <c r="K45" s="14">
        <v>42198</v>
      </c>
      <c r="M45" s="163" t="s">
        <v>518</v>
      </c>
      <c r="N45" s="163" t="str">
        <f t="shared" si="0"/>
        <v>giro 31/7</v>
      </c>
      <c r="O45" s="96">
        <f>+Q3-K45</f>
        <v>-13</v>
      </c>
      <c r="P45" s="96">
        <f t="shared" si="2"/>
        <v>-43</v>
      </c>
      <c r="Q45" s="96">
        <v>2</v>
      </c>
      <c r="R45" s="135">
        <f t="shared" si="3"/>
        <v>-3324.23</v>
      </c>
      <c r="S45" s="135">
        <f t="shared" si="1"/>
        <v>-10995.53</v>
      </c>
    </row>
    <row r="46" spans="1:19" ht="12.75">
      <c r="A46" s="159" t="s">
        <v>506</v>
      </c>
      <c r="B46" s="162">
        <v>42174</v>
      </c>
      <c r="C46" s="159" t="s">
        <v>507</v>
      </c>
      <c r="D46" s="161">
        <v>1437.28</v>
      </c>
      <c r="G46" s="159"/>
      <c r="K46" s="14">
        <v>42198</v>
      </c>
      <c r="M46" s="163" t="s">
        <v>510</v>
      </c>
      <c r="N46" s="163" t="str">
        <f t="shared" si="0"/>
        <v>ezin da momentuz ordaindu</v>
      </c>
      <c r="O46" s="96">
        <f>+Q3-K46</f>
        <v>-13</v>
      </c>
      <c r="P46" s="96">
        <f t="shared" si="2"/>
        <v>-43</v>
      </c>
      <c r="Q46" s="96">
        <v>2</v>
      </c>
      <c r="R46" s="135">
        <f t="shared" si="3"/>
        <v>-18684.64</v>
      </c>
      <c r="S46" s="135">
        <f t="shared" si="1"/>
        <v>-61803.04</v>
      </c>
    </row>
    <row r="47" spans="1:19" ht="12.75">
      <c r="A47" s="159" t="s">
        <v>508</v>
      </c>
      <c r="B47" s="162">
        <v>42185</v>
      </c>
      <c r="C47" s="159" t="s">
        <v>509</v>
      </c>
      <c r="D47" s="161">
        <v>28.82</v>
      </c>
      <c r="G47" s="159"/>
      <c r="K47" s="14">
        <v>42198</v>
      </c>
      <c r="M47" s="163" t="s">
        <v>519</v>
      </c>
      <c r="N47" s="163" t="str">
        <f t="shared" si="0"/>
        <v>giro 30/7</v>
      </c>
      <c r="O47" s="96">
        <f>+Q3-K47</f>
        <v>-13</v>
      </c>
      <c r="P47" s="96">
        <f t="shared" si="2"/>
        <v>-43</v>
      </c>
      <c r="Q47" s="96">
        <v>2</v>
      </c>
      <c r="R47" s="135">
        <f t="shared" si="3"/>
        <v>-374.66</v>
      </c>
      <c r="S47" s="135">
        <f t="shared" si="1"/>
        <v>-1239.26</v>
      </c>
    </row>
    <row r="48" spans="1:19" ht="12.75">
      <c r="A48" s="164" t="s">
        <v>419</v>
      </c>
      <c r="B48" s="162">
        <v>42185</v>
      </c>
      <c r="C48" s="164" t="s">
        <v>420</v>
      </c>
      <c r="D48" s="161">
        <v>1668.35</v>
      </c>
      <c r="G48" s="159"/>
      <c r="K48" s="14">
        <v>42195</v>
      </c>
      <c r="M48" s="14">
        <v>42186</v>
      </c>
      <c r="N48" s="14">
        <f t="shared" si="0"/>
        <v>42186</v>
      </c>
      <c r="O48" s="96">
        <f>+Q3-K48</f>
        <v>-10</v>
      </c>
      <c r="P48" s="96">
        <f t="shared" si="2"/>
        <v>-40</v>
      </c>
      <c r="Q48" s="96">
        <v>2</v>
      </c>
      <c r="R48" s="135">
        <f t="shared" si="3"/>
        <v>-16683.5</v>
      </c>
      <c r="S48" s="135">
        <f t="shared" si="1"/>
        <v>-66734</v>
      </c>
    </row>
    <row r="49" spans="1:19" ht="12.75">
      <c r="A49" s="164" t="s">
        <v>421</v>
      </c>
      <c r="B49" s="162">
        <v>42158</v>
      </c>
      <c r="C49" s="164" t="s">
        <v>422</v>
      </c>
      <c r="D49" s="167" t="s">
        <v>520</v>
      </c>
      <c r="G49" s="159"/>
      <c r="K49" s="14">
        <v>42198</v>
      </c>
      <c r="M49" s="14">
        <v>42186</v>
      </c>
      <c r="N49" s="14">
        <f t="shared" si="0"/>
        <v>42186</v>
      </c>
      <c r="O49" s="96">
        <f>+Q3-K49</f>
        <v>-13</v>
      </c>
      <c r="P49" s="96">
        <f>+O49-30</f>
        <v>-43</v>
      </c>
      <c r="Q49" s="96">
        <v>2</v>
      </c>
      <c r="R49" s="135">
        <f t="shared" si="3"/>
        <v>-189.01999999999998</v>
      </c>
      <c r="S49" s="135">
        <f t="shared" si="1"/>
        <v>-625.2199999999999</v>
      </c>
    </row>
    <row r="50" spans="1:19" ht="12.75">
      <c r="A50" s="164" t="s">
        <v>273</v>
      </c>
      <c r="B50" s="162">
        <v>42124</v>
      </c>
      <c r="C50" s="164" t="s">
        <v>274</v>
      </c>
      <c r="D50" s="167" t="s">
        <v>521</v>
      </c>
      <c r="G50" s="159"/>
      <c r="K50" s="14">
        <v>42124</v>
      </c>
      <c r="M50" s="14">
        <v>42188</v>
      </c>
      <c r="N50" s="14">
        <f t="shared" si="0"/>
        <v>42188</v>
      </c>
      <c r="O50" s="96">
        <f>+Q3-K50</f>
        <v>61</v>
      </c>
      <c r="P50" s="96">
        <f t="shared" si="2"/>
        <v>31</v>
      </c>
      <c r="Q50" s="96">
        <v>2</v>
      </c>
      <c r="R50" s="135">
        <f t="shared" si="3"/>
        <v>47955.15</v>
      </c>
      <c r="S50" s="135">
        <f t="shared" si="1"/>
        <v>24370.649999999998</v>
      </c>
    </row>
    <row r="51" spans="1:19" ht="12.75">
      <c r="A51" s="164" t="s">
        <v>365</v>
      </c>
      <c r="B51" s="162">
        <v>42180</v>
      </c>
      <c r="C51" s="164" t="s">
        <v>366</v>
      </c>
      <c r="D51" s="164" t="s">
        <v>522</v>
      </c>
      <c r="G51" s="159"/>
      <c r="K51" s="14">
        <v>42185</v>
      </c>
      <c r="M51" s="14">
        <v>42188</v>
      </c>
      <c r="N51" s="14">
        <f t="shared" si="0"/>
        <v>42188</v>
      </c>
      <c r="O51" s="96">
        <f>+Q3-K51</f>
        <v>0</v>
      </c>
      <c r="P51" s="96">
        <f>+O51-30</f>
        <v>-30</v>
      </c>
      <c r="Q51" s="96">
        <v>2</v>
      </c>
      <c r="R51" s="135">
        <f t="shared" si="3"/>
        <v>0</v>
      </c>
      <c r="S51" s="135">
        <f t="shared" si="1"/>
        <v>-3778.7999999999997</v>
      </c>
    </row>
    <row r="52" spans="1:7" ht="12.75">
      <c r="A52" s="164"/>
      <c r="B52" s="162"/>
      <c r="D52" s="159"/>
      <c r="G52" s="159"/>
    </row>
    <row r="53" spans="2:7" ht="12.75">
      <c r="B53" s="2"/>
      <c r="D53" s="159"/>
      <c r="G53" s="159"/>
    </row>
    <row r="54" spans="2:7" ht="12.75">
      <c r="B54" s="2"/>
      <c r="D54" s="159"/>
      <c r="G54" s="159"/>
    </row>
    <row r="55" spans="2:7" ht="12.75">
      <c r="B55" s="2"/>
      <c r="D55" s="159"/>
      <c r="G55" s="159"/>
    </row>
  </sheetData>
  <sheetProtection/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USR16</cp:lastModifiedBy>
  <cp:lastPrinted>2015-07-13T10:18:06Z</cp:lastPrinted>
  <dcterms:created xsi:type="dcterms:W3CDTF">2013-12-21T08:23:27Z</dcterms:created>
  <dcterms:modified xsi:type="dcterms:W3CDTF">2015-09-01T12:47:03Z</dcterms:modified>
  <cp:category/>
  <cp:version/>
  <cp:contentType/>
  <cp:contentStatus/>
</cp:coreProperties>
</file>