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'xehet1'!$A$3:$R$129</definedName>
    <definedName name="_xlnm.Print_Area" localSheetId="2">'xehet2'!$A$1:$R$21</definedName>
    <definedName name="_xlnm.Print_Area" localSheetId="3">'xehet32'!$A$3:$P$10</definedName>
  </definedNames>
  <calcPr fullCalcOnLoad="1"/>
</workbook>
</file>

<file path=xl/sharedStrings.xml><?xml version="1.0" encoding="utf-8"?>
<sst xmlns="http://schemas.openxmlformats.org/spreadsheetml/2006/main" count="745" uniqueCount="662">
  <si>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</si>
  <si>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</si>
  <si>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</si>
  <si>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</si>
  <si>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</si>
  <si>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</si>
  <si>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</si>
  <si>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</si>
  <si>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</si>
  <si>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</si>
  <si>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</si>
  <si>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</si>
  <si>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</si>
  <si>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</si>
  <si>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</si>
  <si>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</si>
  <si>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</si>
  <si>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</si>
  <si>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</si>
  <si>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</si>
  <si>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</si>
  <si>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</si>
  <si>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</si>
  <si>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</si>
  <si>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</si>
  <si>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</si>
  <si>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</si>
  <si>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</si>
  <si>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</si>
  <si>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</si>
  <si>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</si>
  <si>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</si>
  <si>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</si>
  <si>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</si>
  <si>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</si>
  <si>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</si>
  <si>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</si>
  <si>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</si>
  <si>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</si>
  <si>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</si>
  <si>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</si>
  <si>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</si>
  <si>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</si>
  <si>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</si>
  <si>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</si>
  <si>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</si>
  <si>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</si>
  <si>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</si>
  <si>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</si>
  <si>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</si>
  <si>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</si>
  <si>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</si>
  <si>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</si>
  <si>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</si>
  <si>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</si>
  <si>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</si>
  <si>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</si>
  <si>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</si>
  <si>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</si>
  <si>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</si>
  <si>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</si>
  <si>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</si>
  <si>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</si>
  <si>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</si>
  <si>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</si>
  <si>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</si>
  <si>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</si>
  <si>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</si>
  <si>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</si>
  <si>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</si>
  <si>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</si>
  <si>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</si>
  <si>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</si>
  <si>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</si>
  <si>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</si>
  <si>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</si>
  <si>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</si>
  <si>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</si>
  <si>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</si>
  <si>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</si>
  <si>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</si>
  <si>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</si>
  <si>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Epea
 R-HH buk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</si>
  <si>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</si>
  <si>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</si>
  <si>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</si>
  <si>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</si>
  <si>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</si>
  <si>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</si>
  <si>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</si>
  <si>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</si>
  <si>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</si>
  <si>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</si>
  <si>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</si>
  <si>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</si>
  <si>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</si>
  <si>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</si>
  <si>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</si>
  <si>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capit</t>
  </si>
  <si>
    <t>epean</t>
  </si>
  <si>
    <t>HH bukaera</t>
  </si>
  <si>
    <t>Hau ez bete</t>
  </si>
  <si>
    <t>hautazkoak</t>
  </si>
  <si>
    <t>betebeharrekoak</t>
  </si>
  <si>
    <t>29 -</t>
  </si>
  <si>
    <t>onarpena</t>
  </si>
  <si>
    <t>ordainketa</t>
  </si>
  <si>
    <t>OARSOALDEA</t>
  </si>
  <si>
    <t>001</t>
  </si>
  <si>
    <t>FCC1700174</t>
  </si>
  <si>
    <t>1703C0534895</t>
  </si>
  <si>
    <t>FCC1700258</t>
  </si>
  <si>
    <t>20/1715328</t>
  </si>
  <si>
    <t>FCC1700259</t>
  </si>
  <si>
    <t>63/2017</t>
  </si>
  <si>
    <t>FCC1700260</t>
  </si>
  <si>
    <t>01806</t>
  </si>
  <si>
    <t>FCC1700261</t>
  </si>
  <si>
    <t>2017033</t>
  </si>
  <si>
    <t>FCC1700262</t>
  </si>
  <si>
    <t>P 13183</t>
  </si>
  <si>
    <t>FCC1700263</t>
  </si>
  <si>
    <t>BZ5083</t>
  </si>
  <si>
    <t>FCC1700264</t>
  </si>
  <si>
    <t>112084</t>
  </si>
  <si>
    <t>FCC1700265</t>
  </si>
  <si>
    <t>SI201707777</t>
  </si>
  <si>
    <t>FCC1700266</t>
  </si>
  <si>
    <t>282/2017</t>
  </si>
  <si>
    <t>FCC1700274</t>
  </si>
  <si>
    <t>01</t>
  </si>
  <si>
    <t>FCC1700276</t>
  </si>
  <si>
    <t>20170167</t>
  </si>
  <si>
    <t>FCC1700277</t>
  </si>
  <si>
    <t>20170156</t>
  </si>
  <si>
    <t>FCC1700278</t>
  </si>
  <si>
    <t>20170157</t>
  </si>
  <si>
    <t>FCC1700279</t>
  </si>
  <si>
    <t>20170166</t>
  </si>
  <si>
    <t>FCC1700280</t>
  </si>
  <si>
    <t>A 22216</t>
  </si>
  <si>
    <t>FCC1700281</t>
  </si>
  <si>
    <t>5</t>
  </si>
  <si>
    <t>FCC1700282</t>
  </si>
  <si>
    <t>4</t>
  </si>
  <si>
    <t>FCC1700283</t>
  </si>
  <si>
    <t>27.079</t>
  </si>
  <si>
    <t>FCC1700285</t>
  </si>
  <si>
    <t>22035/2017</t>
  </si>
  <si>
    <t>FCC1700286</t>
  </si>
  <si>
    <t>17-S-757</t>
  </si>
  <si>
    <t>FCC1700290</t>
  </si>
  <si>
    <t>BF-050</t>
  </si>
  <si>
    <t>FCC1700292</t>
  </si>
  <si>
    <t>371817</t>
  </si>
  <si>
    <t>FCC1700310</t>
  </si>
  <si>
    <t>AEU-INV-ES-2017-8087261</t>
  </si>
  <si>
    <t>FCC1700311</t>
  </si>
  <si>
    <t>AEU-INV-ES-2017-8474589</t>
  </si>
  <si>
    <t>FCC1700312</t>
  </si>
  <si>
    <t>AEU-INV-ES-2017-8738588</t>
  </si>
  <si>
    <t>FCC1700314</t>
  </si>
  <si>
    <t>090/17/GIP</t>
  </si>
  <si>
    <t>FCC1700315</t>
  </si>
  <si>
    <t>112/17</t>
  </si>
  <si>
    <t>FCC1700317</t>
  </si>
  <si>
    <t>2017/000088</t>
  </si>
  <si>
    <t>FCC1700319</t>
  </si>
  <si>
    <t>362</t>
  </si>
  <si>
    <t>FCC1700322</t>
  </si>
  <si>
    <t>B/33207</t>
  </si>
  <si>
    <t>FCC1700328</t>
  </si>
  <si>
    <t>LIQUID.GTS.1ºTRIM 2017</t>
  </si>
  <si>
    <t>FCC1700336</t>
  </si>
  <si>
    <t>23/16-17C</t>
  </si>
  <si>
    <t>FCC1700339</t>
  </si>
  <si>
    <t>A17/006236</t>
  </si>
  <si>
    <t>FCC1700001</t>
  </si>
  <si>
    <t>G-13301</t>
  </si>
  <si>
    <t>FCC1700002</t>
  </si>
  <si>
    <t>1250/17</t>
  </si>
  <si>
    <t>FCC1700003</t>
  </si>
  <si>
    <t>1251/17</t>
  </si>
  <si>
    <t>FCC1700004</t>
  </si>
  <si>
    <t>1248/17</t>
  </si>
  <si>
    <t>FCC1700005</t>
  </si>
  <si>
    <t>1249/17</t>
  </si>
  <si>
    <t>FCC1700006</t>
  </si>
  <si>
    <t>A 22153</t>
  </si>
  <si>
    <t>FCC1700007</t>
  </si>
  <si>
    <t>1</t>
  </si>
  <si>
    <t>FCC1700008</t>
  </si>
  <si>
    <t>02</t>
  </si>
  <si>
    <t>FCC1700009</t>
  </si>
  <si>
    <t>2017020</t>
  </si>
  <si>
    <t>FCC1700013</t>
  </si>
  <si>
    <t>217073</t>
  </si>
  <si>
    <t>FCC1700014</t>
  </si>
  <si>
    <t>1015/17</t>
  </si>
  <si>
    <t>FCC1700015</t>
  </si>
  <si>
    <t>2002/00515</t>
  </si>
  <si>
    <t>FCC1700016</t>
  </si>
  <si>
    <t>17/A-005</t>
  </si>
  <si>
    <t>FCC1700018</t>
  </si>
  <si>
    <t>01/2017</t>
  </si>
  <si>
    <t>FCC1700019</t>
  </si>
  <si>
    <t>1/2017</t>
  </si>
  <si>
    <t>FCC1700020</t>
  </si>
  <si>
    <t>41</t>
  </si>
  <si>
    <t>FCC1700021</t>
  </si>
  <si>
    <t>143</t>
  </si>
  <si>
    <t>FCC1700023</t>
  </si>
  <si>
    <t>FLL AYA04147</t>
  </si>
  <si>
    <t>FCC1700024</t>
  </si>
  <si>
    <t>00002612</t>
  </si>
  <si>
    <t>FCC1700025</t>
  </si>
  <si>
    <t>BS0151</t>
  </si>
  <si>
    <t>FCC1700026</t>
  </si>
  <si>
    <t>1701C0598345</t>
  </si>
  <si>
    <t>FCC1700027</t>
  </si>
  <si>
    <t>201701160006084</t>
  </si>
  <si>
    <t>FCC1700028</t>
  </si>
  <si>
    <t>20170116010006085</t>
  </si>
  <si>
    <t>FCC1700029</t>
  </si>
  <si>
    <t>20170116010006295</t>
  </si>
  <si>
    <t>FCC1700030</t>
  </si>
  <si>
    <t>20170116010334980</t>
  </si>
  <si>
    <t>FCC1700031</t>
  </si>
  <si>
    <t>20170117010162186</t>
  </si>
  <si>
    <t>FCC1700032</t>
  </si>
  <si>
    <t>20170117010262237</t>
  </si>
  <si>
    <t>FCC1700033</t>
  </si>
  <si>
    <t>20170117010455072</t>
  </si>
  <si>
    <t>FCC1700034</t>
  </si>
  <si>
    <t>20170117010455073</t>
  </si>
  <si>
    <t>FCC1700035</t>
  </si>
  <si>
    <t>20170117010455074</t>
  </si>
  <si>
    <t>FCC1700036</t>
  </si>
  <si>
    <t>TK17000073</t>
  </si>
  <si>
    <t>FCC1700037</t>
  </si>
  <si>
    <t>BT7032</t>
  </si>
  <si>
    <t>FCC1700038</t>
  </si>
  <si>
    <t>GTS OBRAS ENERO 2017</t>
  </si>
  <si>
    <t>FCC1700039</t>
  </si>
  <si>
    <t>13</t>
  </si>
  <si>
    <t>FCC1700040</t>
  </si>
  <si>
    <t>0012</t>
  </si>
  <si>
    <t>FCC1700041</t>
  </si>
  <si>
    <t>301612294</t>
  </si>
  <si>
    <t>FCC1700042</t>
  </si>
  <si>
    <t>17/01</t>
  </si>
  <si>
    <t>FCC1700043</t>
  </si>
  <si>
    <t>99130192</t>
  </si>
  <si>
    <t>FCC1700046</t>
  </si>
  <si>
    <t>02/2017</t>
  </si>
  <si>
    <t>FCC1700047</t>
  </si>
  <si>
    <t>2</t>
  </si>
  <si>
    <t>FCC1700049</t>
  </si>
  <si>
    <t>035</t>
  </si>
  <si>
    <t>FCC1700050</t>
  </si>
  <si>
    <t>17007</t>
  </si>
  <si>
    <t>FCC1700051</t>
  </si>
  <si>
    <t>SO-170228</t>
  </si>
  <si>
    <t>FCC1700052</t>
  </si>
  <si>
    <t>17-S-178</t>
  </si>
  <si>
    <t>FCC1700053</t>
  </si>
  <si>
    <t>VN10777</t>
  </si>
  <si>
    <t>FCC1700054</t>
  </si>
  <si>
    <t>7000012059</t>
  </si>
  <si>
    <t>FCC1700055</t>
  </si>
  <si>
    <t>7000015174</t>
  </si>
  <si>
    <t>FCC1700056</t>
  </si>
  <si>
    <t>7000015175</t>
  </si>
  <si>
    <t>FCC1700057</t>
  </si>
  <si>
    <t>700015176</t>
  </si>
  <si>
    <t>FCC1700058</t>
  </si>
  <si>
    <t>7000015177</t>
  </si>
  <si>
    <t>FCC1700059</t>
  </si>
  <si>
    <t>7000015178</t>
  </si>
  <si>
    <t>FCC1700060</t>
  </si>
  <si>
    <t>7000015179</t>
  </si>
  <si>
    <t>FCC1700061</t>
  </si>
  <si>
    <t>7000015180</t>
  </si>
  <si>
    <t>FCC1700062</t>
  </si>
  <si>
    <t>20170049</t>
  </si>
  <si>
    <t>FCC1700063</t>
  </si>
  <si>
    <t>20170012</t>
  </si>
  <si>
    <t>FCC1700064</t>
  </si>
  <si>
    <t>20170032</t>
  </si>
  <si>
    <t>FCC1700065</t>
  </si>
  <si>
    <t>20170054</t>
  </si>
  <si>
    <t>FCC1700066</t>
  </si>
  <si>
    <t>20170055</t>
  </si>
  <si>
    <t>FCC1700067</t>
  </si>
  <si>
    <t>370469</t>
  </si>
  <si>
    <t>FCC1700068</t>
  </si>
  <si>
    <t>170121</t>
  </si>
  <si>
    <t>FCC1700069</t>
  </si>
  <si>
    <t>170119</t>
  </si>
  <si>
    <t>FCC1700070</t>
  </si>
  <si>
    <t>17014154</t>
  </si>
  <si>
    <t>FCC1700071</t>
  </si>
  <si>
    <t>17014155</t>
  </si>
  <si>
    <t>FCC1700072</t>
  </si>
  <si>
    <t>17014156</t>
  </si>
  <si>
    <t>FCC1700073</t>
  </si>
  <si>
    <t>17014157</t>
  </si>
  <si>
    <t>FCC1700074</t>
  </si>
  <si>
    <t>17014158</t>
  </si>
  <si>
    <t>FCC1700075</t>
  </si>
  <si>
    <t>17014159</t>
  </si>
  <si>
    <t>FCC1700076</t>
  </si>
  <si>
    <t>17014160</t>
  </si>
  <si>
    <t>FCC1700077</t>
  </si>
  <si>
    <t>17014153</t>
  </si>
  <si>
    <t>FCC1700078</t>
  </si>
  <si>
    <t>17014161</t>
  </si>
  <si>
    <t>FCC1700079</t>
  </si>
  <si>
    <t>17014162</t>
  </si>
  <si>
    <t>FCC1700080</t>
  </si>
  <si>
    <t>17014163</t>
  </si>
  <si>
    <t>FCC1700081</t>
  </si>
  <si>
    <t>20170213010006506</t>
  </si>
  <si>
    <t>FCC1700082</t>
  </si>
  <si>
    <t>20170215010397857</t>
  </si>
  <si>
    <t>FCC1700083</t>
  </si>
  <si>
    <t>20170113010005282</t>
  </si>
  <si>
    <t>FCC1700084</t>
  </si>
  <si>
    <t>so-170470</t>
  </si>
  <si>
    <t>FCC1700085</t>
  </si>
  <si>
    <t>033/17/GIP</t>
  </si>
  <si>
    <t>FCC1700086</t>
  </si>
  <si>
    <t>034/17/GIP</t>
  </si>
  <si>
    <t>FCC1700087</t>
  </si>
  <si>
    <t>17034</t>
  </si>
  <si>
    <t>FCC1700088</t>
  </si>
  <si>
    <t>17030</t>
  </si>
  <si>
    <t>FCC1700089</t>
  </si>
  <si>
    <t>1702C0721113</t>
  </si>
  <si>
    <t>FCC1700090</t>
  </si>
  <si>
    <t>0/0 (060) 0001/045029</t>
  </si>
  <si>
    <t>FCC1700091</t>
  </si>
  <si>
    <t>0/0 (060) 0003/044014</t>
  </si>
  <si>
    <t>FCC1700092</t>
  </si>
  <si>
    <t>0/0 (060) 0003/040078</t>
  </si>
  <si>
    <t>FCC1700093</t>
  </si>
  <si>
    <t>0/0 (060) 0005/039009</t>
  </si>
  <si>
    <t>FCC1700094</t>
  </si>
  <si>
    <t>0/0 (060) 0001/038037</t>
  </si>
  <si>
    <t>FCC1700095</t>
  </si>
  <si>
    <t>0/0 (060) 0005/037024</t>
  </si>
  <si>
    <t>FCC1700096</t>
  </si>
  <si>
    <t>0/0 (060) 0001/034017</t>
  </si>
  <si>
    <t>FCC1700097</t>
  </si>
  <si>
    <t>0/0 (060) 0005/033025</t>
  </si>
  <si>
    <t>FCC1700098</t>
  </si>
  <si>
    <t>0/0 (060) 0004/032031</t>
  </si>
  <si>
    <t>FCC1700099</t>
  </si>
  <si>
    <t>0/0 (060) 0001/031030</t>
  </si>
  <si>
    <t>FCC1700100</t>
  </si>
  <si>
    <t>0/0 (060) 0005/041005</t>
  </si>
  <si>
    <t>FCC1700101</t>
  </si>
  <si>
    <t>FCC1700102</t>
  </si>
  <si>
    <t>01/17</t>
  </si>
  <si>
    <t>FCC1700103</t>
  </si>
  <si>
    <t>22392</t>
  </si>
  <si>
    <t>FCC1700105</t>
  </si>
  <si>
    <t>RI/16057332</t>
  </si>
  <si>
    <t>FCC1700106</t>
  </si>
  <si>
    <t>EVE/3229/23812/0</t>
  </si>
  <si>
    <t>FCC1700108</t>
  </si>
  <si>
    <t>20170215010397854</t>
  </si>
  <si>
    <t>FCC1700109</t>
  </si>
  <si>
    <t>20170215010254698</t>
  </si>
  <si>
    <t>FCC1700110</t>
  </si>
  <si>
    <t>20170215010168473</t>
  </si>
  <si>
    <t>FCC1700111</t>
  </si>
  <si>
    <t>20170214010006239</t>
  </si>
  <si>
    <t>FCC1700112</t>
  </si>
  <si>
    <t>20170215010397856</t>
  </si>
  <si>
    <t>FCC1700113</t>
  </si>
  <si>
    <t>SI201705195</t>
  </si>
  <si>
    <t>FCC1700114</t>
  </si>
  <si>
    <t>73/2017</t>
  </si>
  <si>
    <t>FCC1700115</t>
  </si>
  <si>
    <t>108/2017</t>
  </si>
  <si>
    <t>FCC1700116</t>
  </si>
  <si>
    <t>134/2017</t>
  </si>
  <si>
    <t>FCC1700117</t>
  </si>
  <si>
    <t>FA139946</t>
  </si>
  <si>
    <t>FCC1700118</t>
  </si>
  <si>
    <t>A 17</t>
  </si>
  <si>
    <t>FCC1700119</t>
  </si>
  <si>
    <t>A 18</t>
  </si>
  <si>
    <t>FCC1700120</t>
  </si>
  <si>
    <t>A 19</t>
  </si>
  <si>
    <t>FCC1700121</t>
  </si>
  <si>
    <t>1700101</t>
  </si>
  <si>
    <t>FCC1700122</t>
  </si>
  <si>
    <t>BF-019</t>
  </si>
  <si>
    <t>FCC1700124</t>
  </si>
  <si>
    <t>A 17.305</t>
  </si>
  <si>
    <t>FCC1700125</t>
  </si>
  <si>
    <t>A17/001810</t>
  </si>
  <si>
    <t>FCC1700126</t>
  </si>
  <si>
    <t>732</t>
  </si>
  <si>
    <t>FCC1700127</t>
  </si>
  <si>
    <t>20170214010006078</t>
  </si>
  <si>
    <t>FCC1700128</t>
  </si>
  <si>
    <t>20170214010006079</t>
  </si>
  <si>
    <t>FCC1700129</t>
  </si>
  <si>
    <t>20170214010314620</t>
  </si>
  <si>
    <t>FCC1700130</t>
  </si>
  <si>
    <t>7250125143</t>
  </si>
  <si>
    <t>FCC1700131</t>
  </si>
  <si>
    <t>17/000019</t>
  </si>
  <si>
    <t>FCC1700132</t>
  </si>
  <si>
    <t>20170046</t>
  </si>
  <si>
    <t>FCC1700133</t>
  </si>
  <si>
    <t>A 22354</t>
  </si>
  <si>
    <t>FCC1700134</t>
  </si>
  <si>
    <t>0/0 (060) 0001/046040</t>
  </si>
  <si>
    <t>FCC1700135</t>
  </si>
  <si>
    <t>20170116010006086</t>
  </si>
  <si>
    <t>FCC1700136</t>
  </si>
  <si>
    <t>20170214010006080</t>
  </si>
  <si>
    <t>FCC1700137</t>
  </si>
  <si>
    <t>28-B780-699653</t>
  </si>
  <si>
    <t>FCC1700138</t>
  </si>
  <si>
    <t>TA5EB0091766</t>
  </si>
  <si>
    <t>FCC1700139</t>
  </si>
  <si>
    <t>TA5HT0091058</t>
  </si>
  <si>
    <t>FCC1700140</t>
  </si>
  <si>
    <t>01MXHUX</t>
  </si>
  <si>
    <t>FCC1700141</t>
  </si>
  <si>
    <t>01MXHUY</t>
  </si>
  <si>
    <t>FCC1700142</t>
  </si>
  <si>
    <t>01MXHUZ</t>
  </si>
  <si>
    <t>FCC1700143</t>
  </si>
  <si>
    <t>01MXHVO</t>
  </si>
  <si>
    <t>FCC1700144</t>
  </si>
  <si>
    <t>01N5ZBR</t>
  </si>
  <si>
    <t>FCC1700145</t>
  </si>
  <si>
    <t>01N5ZBS</t>
  </si>
  <si>
    <t>FCC1700146</t>
  </si>
  <si>
    <t>01N5ZBT</t>
  </si>
  <si>
    <t>FCC1700147</t>
  </si>
  <si>
    <t>01N5ZBU</t>
  </si>
  <si>
    <t>FCC1700148</t>
  </si>
  <si>
    <t>B/1437636</t>
  </si>
  <si>
    <t>FCC1700149</t>
  </si>
  <si>
    <t>B/1425389</t>
  </si>
  <si>
    <t>FCC1700150</t>
  </si>
  <si>
    <t>B/1430812</t>
  </si>
  <si>
    <t>FCC1700151</t>
  </si>
  <si>
    <t>FLL AYA66353</t>
  </si>
  <si>
    <t>FCC1700152</t>
  </si>
  <si>
    <t>FCC1700153</t>
  </si>
  <si>
    <t>A 21</t>
  </si>
  <si>
    <t>FCC1700154</t>
  </si>
  <si>
    <t>00031</t>
  </si>
  <si>
    <t>FCC1700156</t>
  </si>
  <si>
    <t>20170076</t>
  </si>
  <si>
    <t>FCC1700157</t>
  </si>
  <si>
    <t>20170091</t>
  </si>
  <si>
    <t>FCC1700158</t>
  </si>
  <si>
    <t>3</t>
  </si>
  <si>
    <t>FCC1700161</t>
  </si>
  <si>
    <t>247</t>
  </si>
  <si>
    <t>FCC1700162</t>
  </si>
  <si>
    <t>01803</t>
  </si>
  <si>
    <t>FCC1700163</t>
  </si>
  <si>
    <t>27.011</t>
  </si>
  <si>
    <t>FCC1700164</t>
  </si>
  <si>
    <t>054</t>
  </si>
  <si>
    <t>FCC1700165</t>
  </si>
  <si>
    <t>A/000486</t>
  </si>
  <si>
    <t>FCC1700168</t>
  </si>
  <si>
    <t>28-C780-656784</t>
  </si>
  <si>
    <t>FCC1700169</t>
  </si>
  <si>
    <t>28-A780-688752</t>
  </si>
  <si>
    <t>FCC1700170</t>
  </si>
  <si>
    <t>FLL AYA90729</t>
  </si>
  <si>
    <t>FCC1700171</t>
  </si>
  <si>
    <t>01MX5XM</t>
  </si>
  <si>
    <t>FCC1700172</t>
  </si>
  <si>
    <t>01N5OOG</t>
  </si>
  <si>
    <t>FCC1700173</t>
  </si>
  <si>
    <t>BW9740</t>
  </si>
  <si>
    <t>FCC1700177</t>
  </si>
  <si>
    <t>SO-170227</t>
  </si>
  <si>
    <t>FCC1700178</t>
  </si>
  <si>
    <t>10/2017</t>
  </si>
  <si>
    <t>FCC1700179</t>
  </si>
  <si>
    <t>12017101689</t>
  </si>
  <si>
    <t>FCC1700180</t>
  </si>
  <si>
    <t>12017146074</t>
  </si>
  <si>
    <t>FCC1700181</t>
  </si>
  <si>
    <t>GTS OBRAS FEBRERO 2017</t>
  </si>
  <si>
    <t>FCC1700182</t>
  </si>
  <si>
    <t>GTS OBRAS MARZO 2017</t>
  </si>
  <si>
    <t>FCC1700183</t>
  </si>
  <si>
    <t>IN2017.01</t>
  </si>
  <si>
    <t>FCC1700185</t>
  </si>
  <si>
    <t>17/A-015</t>
  </si>
  <si>
    <t>FCC1700186</t>
  </si>
  <si>
    <t>2017-38/E4389</t>
  </si>
  <si>
    <t>FCC1700188</t>
  </si>
  <si>
    <t>17072</t>
  </si>
  <si>
    <t>FCC1700189</t>
  </si>
  <si>
    <t>219/2017</t>
  </si>
  <si>
    <t>FCC1700190</t>
  </si>
  <si>
    <t>SI201706758</t>
  </si>
  <si>
    <t>FCC1700191</t>
  </si>
  <si>
    <t>1700153</t>
  </si>
  <si>
    <t>FCC1700192</t>
  </si>
  <si>
    <t>175004PA00154</t>
  </si>
  <si>
    <t>FCC1700193</t>
  </si>
  <si>
    <t>SA 4621</t>
  </si>
  <si>
    <t>FCC1700194</t>
  </si>
  <si>
    <t>16-000.425</t>
  </si>
  <si>
    <t>FCC1700196</t>
  </si>
  <si>
    <t>17-000.037</t>
  </si>
  <si>
    <t>FCC1700197</t>
  </si>
  <si>
    <t>17068</t>
  </si>
  <si>
    <t>FCC1700198</t>
  </si>
  <si>
    <t>A/700</t>
  </si>
  <si>
    <t>FCC1700199</t>
  </si>
  <si>
    <t>047/17/GIP</t>
  </si>
  <si>
    <t>FCC1700203</t>
  </si>
  <si>
    <t>17045</t>
  </si>
  <si>
    <t>FCC1700204</t>
  </si>
  <si>
    <t>A17/003993</t>
  </si>
  <si>
    <t>FCC1700207</t>
  </si>
  <si>
    <t>17-S-473</t>
  </si>
  <si>
    <t>FCC1700208</t>
  </si>
  <si>
    <t>2/2017</t>
  </si>
  <si>
    <t>FCC1700209</t>
  </si>
  <si>
    <t>2106</t>
  </si>
  <si>
    <t>FCC1700210</t>
  </si>
  <si>
    <t>BF-036</t>
  </si>
  <si>
    <t>FCC1700211</t>
  </si>
  <si>
    <t>371085</t>
  </si>
  <si>
    <t>FCC1700212</t>
  </si>
  <si>
    <t>BX6164</t>
  </si>
  <si>
    <t>FCC1700213</t>
  </si>
  <si>
    <t>1/2017/25</t>
  </si>
  <si>
    <t>FCC1700214</t>
  </si>
  <si>
    <t>BORME/2017/19</t>
  </si>
  <si>
    <t>FCC1700215</t>
  </si>
  <si>
    <t>1/2017/157</t>
  </si>
  <si>
    <t>FCC1700216</t>
  </si>
  <si>
    <t>60360688</t>
  </si>
  <si>
    <t>FCC1700217</t>
  </si>
  <si>
    <t>60361906</t>
  </si>
  <si>
    <t>FCC1700218</t>
  </si>
  <si>
    <t>0/0 (060) 0041/069002</t>
  </si>
  <si>
    <t>FCC1700219</t>
  </si>
  <si>
    <t>0/0 (060) 0041/069004</t>
  </si>
  <si>
    <t>FCC1700220</t>
  </si>
  <si>
    <t>F02-17</t>
  </si>
  <si>
    <t>FCC1700221</t>
  </si>
  <si>
    <t>B/33003</t>
  </si>
  <si>
    <t>FCC1700222</t>
  </si>
  <si>
    <t>201700393</t>
  </si>
  <si>
    <t>FCC1700223</t>
  </si>
  <si>
    <t>A 22550</t>
  </si>
  <si>
    <t>FCC1700224</t>
  </si>
  <si>
    <t>27062</t>
  </si>
  <si>
    <t>FCC1700225</t>
  </si>
  <si>
    <t>27041</t>
  </si>
  <si>
    <t>FCC1700226</t>
  </si>
  <si>
    <t>27027</t>
  </si>
  <si>
    <t>FCC1700227</t>
  </si>
  <si>
    <t>20170135</t>
  </si>
  <si>
    <t>FCC1700228</t>
  </si>
  <si>
    <t>20170098</t>
  </si>
  <si>
    <t>FCC1700229</t>
  </si>
  <si>
    <t>20170118</t>
  </si>
  <si>
    <t>FCC1700230</t>
  </si>
  <si>
    <t>20170129</t>
  </si>
  <si>
    <t>FCC1700231</t>
  </si>
  <si>
    <t>20170119</t>
  </si>
  <si>
    <t>FCC1700232</t>
  </si>
  <si>
    <t>170209/A</t>
  </si>
  <si>
    <t>FCC1700233</t>
  </si>
  <si>
    <t>54/17</t>
  </si>
  <si>
    <t>FCC1700234</t>
  </si>
  <si>
    <t>BX8559</t>
  </si>
  <si>
    <t>FCC1700235</t>
  </si>
  <si>
    <t>3/170001268</t>
  </si>
  <si>
    <t>FCC1700236</t>
  </si>
  <si>
    <t>03/2017</t>
  </si>
  <si>
    <t>FCC1700237</t>
  </si>
  <si>
    <t>913/17</t>
  </si>
  <si>
    <t>FCC1700238</t>
  </si>
  <si>
    <t>31/17</t>
  </si>
  <si>
    <t>FCC1700239</t>
  </si>
  <si>
    <t>FCC1700240</t>
  </si>
  <si>
    <t>FCC1700243</t>
  </si>
  <si>
    <t>A 22641</t>
  </si>
  <si>
    <t>FCC1700244</t>
  </si>
  <si>
    <t>20170316010330045</t>
  </si>
  <si>
    <t>FCC1700245</t>
  </si>
  <si>
    <t>20170315010006551</t>
  </si>
  <si>
    <t>FCC1700246</t>
  </si>
  <si>
    <t>20170315010006552</t>
  </si>
  <si>
    <t>FCC1700247</t>
  </si>
  <si>
    <t>1017</t>
  </si>
  <si>
    <t>FCC1700249</t>
  </si>
  <si>
    <t>20170313010006963</t>
  </si>
  <si>
    <t>FCC1700250</t>
  </si>
  <si>
    <t>GY/1009/17</t>
  </si>
  <si>
    <t>FCC1700251</t>
  </si>
  <si>
    <t>030/17</t>
  </si>
  <si>
    <t>FCC1700252</t>
  </si>
  <si>
    <t>109FB201791</t>
  </si>
  <si>
    <t>FCC1700253</t>
  </si>
  <si>
    <t>20170315010183783</t>
  </si>
  <si>
    <t>FCC1700254</t>
  </si>
  <si>
    <t>20170315010418713</t>
  </si>
  <si>
    <t>FCC1700255</t>
  </si>
  <si>
    <t>20170316010274845</t>
  </si>
  <si>
    <t>FCC1700256</t>
  </si>
  <si>
    <t>20170314010006371</t>
  </si>
  <si>
    <t>FCC1700268</t>
  </si>
  <si>
    <t>17118</t>
  </si>
  <si>
    <t>FCC1700269</t>
  </si>
  <si>
    <t>VCO70784008</t>
  </si>
  <si>
    <t>FCC1700284</t>
  </si>
  <si>
    <t>17091</t>
  </si>
  <si>
    <t>FCC1700294</t>
  </si>
  <si>
    <t>20170314010006235</t>
  </si>
  <si>
    <t>FCC1700295</t>
  </si>
  <si>
    <t>TA5LH089684</t>
  </si>
  <si>
    <t>FCC1700296</t>
  </si>
  <si>
    <t>FLGAYB21365</t>
  </si>
  <si>
    <t>FCC1700299</t>
  </si>
  <si>
    <t>B/1469698</t>
  </si>
  <si>
    <t>FCC1700300</t>
  </si>
  <si>
    <t>01NF790</t>
  </si>
  <si>
    <t>FCC1700301</t>
  </si>
  <si>
    <t>01NFEQD</t>
  </si>
  <si>
    <t>FCC1700302</t>
  </si>
  <si>
    <t>01NFEQE</t>
  </si>
  <si>
    <t>FCC1700303</t>
  </si>
  <si>
    <t>01NFEQF</t>
  </si>
  <si>
    <t>FCC1700304</t>
  </si>
  <si>
    <t>01NFEQG</t>
  </si>
  <si>
    <t>FCC1700305</t>
  </si>
  <si>
    <t>771331</t>
  </si>
  <si>
    <t>FCC1700306</t>
  </si>
  <si>
    <t>12017300387</t>
  </si>
  <si>
    <t>FCC1700307</t>
  </si>
  <si>
    <t>12017300388</t>
  </si>
  <si>
    <t>FCC1700308</t>
  </si>
  <si>
    <t>12017300389</t>
  </si>
  <si>
    <t>FCC1700309</t>
  </si>
  <si>
    <t>4º TRIMESTRE 2016</t>
  </si>
  <si>
    <t>FCC1700318</t>
  </si>
  <si>
    <t>17114</t>
  </si>
  <si>
    <t>1.hiruhilekoa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</si>
</sst>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6" borderId="4" applyNumberFormat="0" applyAlignment="0" applyProtection="0"/>
    <xf numFmtId="9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27" borderId="0" applyNumberFormat="0" applyBorder="0" applyAlignment="0" applyProtection="0"/>
    <xf numFmtId="0" fontId="44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5" fillId="28" borderId="7" applyNumberFormat="0" applyAlignment="0" applyProtection="0"/>
    <xf numFmtId="0" fontId="46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4" fontId="2" fillId="41" borderId="0" xfId="53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49" fontId="0" fillId="0" borderId="0" xfId="61" applyNumberFormat="1">
      <alignment/>
      <protection/>
    </xf>
    <xf numFmtId="4" fontId="0" fillId="0" borderId="0" xfId="61" applyNumberFormat="1">
      <alignment/>
      <protection/>
    </xf>
    <xf numFmtId="14" fontId="0" fillId="0" borderId="0" xfId="61" applyNumberFormat="1">
      <alignment/>
      <protection/>
    </xf>
    <xf numFmtId="173" fontId="17" fillId="0" borderId="0" xfId="0" applyNumberFormat="1" applyFont="1" applyAlignment="1">
      <alignment/>
    </xf>
    <xf numFmtId="49" fontId="0" fillId="0" borderId="0" xfId="61" applyNumberFormat="1" applyFont="1">
      <alignment/>
      <protection/>
    </xf>
    <xf numFmtId="49" fontId="0" fillId="0" borderId="0" xfId="61" applyNumberFormat="1" applyFont="1" applyAlignment="1">
      <alignment horizontal="right"/>
      <protection/>
    </xf>
    <xf numFmtId="49" fontId="52" fillId="0" borderId="0" xfId="58" applyNumberFormat="1" applyFont="1">
      <alignment/>
      <protection/>
    </xf>
    <xf numFmtId="4" fontId="52" fillId="0" borderId="0" xfId="58" applyNumberFormat="1" applyFont="1">
      <alignment/>
      <protection/>
    </xf>
    <xf numFmtId="49" fontId="2" fillId="0" borderId="0" xfId="58" applyNumberFormat="1" applyFont="1">
      <alignment/>
      <protection/>
    </xf>
    <xf numFmtId="4" fontId="2" fillId="0" borderId="0" xfId="58" applyNumberFormat="1" applyFont="1">
      <alignment/>
      <protection/>
    </xf>
    <xf numFmtId="49" fontId="2" fillId="0" borderId="0" xfId="61" applyNumberFormat="1" applyFont="1">
      <alignment/>
      <protection/>
    </xf>
    <xf numFmtId="14" fontId="2" fillId="0" borderId="0" xfId="61" applyNumberFormat="1" applyFont="1">
      <alignment/>
      <protection/>
    </xf>
    <xf numFmtId="4" fontId="2" fillId="0" borderId="0" xfId="61" applyNumberFormat="1" applyFont="1">
      <alignment/>
      <protection/>
    </xf>
    <xf numFmtId="49" fontId="2" fillId="0" borderId="0" xfId="60" applyNumberFormat="1" applyFont="1">
      <alignment/>
      <protection/>
    </xf>
    <xf numFmtId="49" fontId="2" fillId="0" borderId="0" xfId="60" applyNumberFormat="1" applyFont="1" applyFill="1">
      <alignment/>
      <protection/>
    </xf>
    <xf numFmtId="0" fontId="2" fillId="0" borderId="0" xfId="60" applyFont="1">
      <alignment/>
      <protection/>
    </xf>
    <xf numFmtId="0" fontId="9" fillId="0" borderId="0" xfId="0" applyFont="1" applyFill="1" applyAlignment="1">
      <alignment/>
    </xf>
    <xf numFmtId="14" fontId="4" fillId="0" borderId="0" xfId="59" applyNumberFormat="1" applyFont="1" applyFill="1" applyAlignment="1">
      <alignment horizontal="center" wrapText="1"/>
      <protection/>
    </xf>
    <xf numFmtId="0" fontId="2" fillId="0" borderId="0" xfId="60" applyFont="1" applyFill="1">
      <alignment/>
      <protection/>
    </xf>
    <xf numFmtId="2" fontId="9" fillId="0" borderId="19" xfId="0" applyNumberFormat="1" applyFont="1" applyBorder="1" applyAlignment="1">
      <alignment horizontal="center"/>
    </xf>
    <xf numFmtId="0" fontId="12" fillId="44" borderId="48" xfId="0" applyFont="1" applyFill="1" applyBorder="1" applyAlignment="1">
      <alignment horizontal="center"/>
    </xf>
    <xf numFmtId="0" fontId="12" fillId="44" borderId="49" xfId="0" applyFont="1" applyFill="1" applyBorder="1" applyAlignment="1">
      <alignment horizontal="center"/>
    </xf>
    <xf numFmtId="0" fontId="12" fillId="44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/>
    </xf>
    <xf numFmtId="0" fontId="4" fillId="37" borderId="5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8" borderId="56" xfId="0" applyFont="1" applyFill="1" applyBorder="1" applyAlignment="1">
      <alignment horizontal="right"/>
    </xf>
    <xf numFmtId="0" fontId="4" fillId="38" borderId="57" xfId="0" applyFont="1" applyFill="1" applyBorder="1" applyAlignment="1">
      <alignment horizontal="right"/>
    </xf>
    <xf numFmtId="0" fontId="4" fillId="37" borderId="5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59" xfId="0" applyFont="1" applyFill="1" applyBorder="1" applyAlignment="1">
      <alignment/>
    </xf>
    <xf numFmtId="0" fontId="4" fillId="45" borderId="60" xfId="0" applyFont="1" applyFill="1" applyBorder="1" applyAlignment="1">
      <alignment horizontal="right"/>
    </xf>
    <xf numFmtId="0" fontId="4" fillId="45" borderId="61" xfId="0" applyFont="1" applyFill="1" applyBorder="1" applyAlignment="1">
      <alignment horizontal="right"/>
    </xf>
    <xf numFmtId="0" fontId="4" fillId="45" borderId="62" xfId="0" applyFont="1" applyFill="1" applyBorder="1" applyAlignment="1">
      <alignment horizontal="right"/>
    </xf>
    <xf numFmtId="0" fontId="4" fillId="38" borderId="6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8" xfId="0" applyFont="1" applyFill="1" applyBorder="1" applyAlignment="1">
      <alignment/>
    </xf>
    <xf numFmtId="0" fontId="4" fillId="38" borderId="64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45" borderId="65" xfId="0" applyFont="1" applyFill="1" applyBorder="1" applyAlignment="1">
      <alignment horizontal="right"/>
    </xf>
    <xf numFmtId="0" fontId="4" fillId="45" borderId="34" xfId="0" applyFont="1" applyFill="1" applyBorder="1" applyAlignment="1">
      <alignment horizontal="right"/>
    </xf>
    <xf numFmtId="0" fontId="4" fillId="45" borderId="66" xfId="0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4" fillId="45" borderId="68" xfId="0" applyFont="1" applyFill="1" applyBorder="1" applyAlignment="1">
      <alignment horizontal="right"/>
    </xf>
    <xf numFmtId="0" fontId="4" fillId="45" borderId="32" xfId="0" applyFont="1" applyFill="1" applyBorder="1" applyAlignment="1">
      <alignment horizontal="right"/>
    </xf>
    <xf numFmtId="0" fontId="4" fillId="45" borderId="30" xfId="0" applyFont="1" applyFill="1" applyBorder="1" applyAlignment="1">
      <alignment horizontal="right"/>
    </xf>
    <xf numFmtId="0" fontId="2" fillId="40" borderId="69" xfId="0" applyFont="1" applyFill="1" applyBorder="1" applyAlignment="1">
      <alignment horizontal="left" vertical="top" wrapText="1"/>
    </xf>
    <xf numFmtId="0" fontId="2" fillId="40" borderId="70" xfId="0" applyFont="1" applyFill="1" applyBorder="1" applyAlignment="1">
      <alignment horizontal="left" vertical="top" wrapText="1"/>
    </xf>
    <xf numFmtId="0" fontId="4" fillId="45" borderId="71" xfId="0" applyFont="1" applyFill="1" applyBorder="1" applyAlignment="1">
      <alignment horizontal="right"/>
    </xf>
    <xf numFmtId="0" fontId="4" fillId="45" borderId="72" xfId="0" applyFont="1" applyFill="1" applyBorder="1" applyAlignment="1">
      <alignment horizontal="right"/>
    </xf>
    <xf numFmtId="0" fontId="4" fillId="45" borderId="73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3" xfId="0" applyFont="1" applyBorder="1" applyAlignment="1">
      <alignment/>
    </xf>
    <xf numFmtId="0" fontId="4" fillId="37" borderId="74" xfId="0" applyFont="1" applyFill="1" applyBorder="1" applyAlignment="1">
      <alignment horizontal="center" wrapText="1"/>
    </xf>
    <xf numFmtId="0" fontId="2" fillId="0" borderId="75" xfId="0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4" fillId="37" borderId="77" xfId="0" applyFont="1" applyFill="1" applyBorder="1" applyAlignment="1">
      <alignment horizontal="center" wrapText="1"/>
    </xf>
    <xf numFmtId="0" fontId="4" fillId="37" borderId="58" xfId="0" applyFont="1" applyFill="1" applyBorder="1" applyAlignment="1">
      <alignment horizontal="center" wrapText="1"/>
    </xf>
  </cellXfs>
  <cellStyles count="53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Normala_xehet32" xfId="61"/>
    <cellStyle name="Oharra" xfId="62"/>
    <cellStyle name="Ohar-testua" xfId="63"/>
    <cellStyle name="Ondo" xfId="64"/>
    <cellStyle name="Sarrera" xfId="65"/>
    <cellStyle name="Titulua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1">
      <selection activeCell="I8" sqref="I8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57">
        <f>SUMSQ(D27:I27,D39:F40,D59:I59,D72:F72,D82:F83,E91:H91)</f>
        <v>3321916621.045001</v>
      </c>
      <c r="B1" s="157"/>
    </row>
    <row r="2" spans="1:9" s="42" customFormat="1" ht="15.75" customHeight="1">
      <c r="A2" s="158" t="s">
        <v>21</v>
      </c>
      <c r="B2" s="159"/>
      <c r="C2" s="159"/>
      <c r="D2" s="159"/>
      <c r="E2" s="159"/>
      <c r="F2" s="159"/>
      <c r="G2" s="159"/>
      <c r="H2" s="159"/>
      <c r="I2" s="160"/>
    </row>
    <row r="3" spans="1:9" s="42" customFormat="1" ht="15.75" customHeight="1">
      <c r="A3" s="43"/>
      <c r="B3" s="44"/>
      <c r="C3" s="45" t="s">
        <v>4</v>
      </c>
      <c r="D3" s="161" t="s">
        <v>107</v>
      </c>
      <c r="E3" s="161"/>
      <c r="F3" s="161"/>
      <c r="G3" s="161"/>
      <c r="H3" s="44"/>
      <c r="I3" s="46"/>
    </row>
    <row r="4" spans="1:9" s="42" customFormat="1" ht="15.75" customHeight="1">
      <c r="A4" s="43"/>
      <c r="B4" s="44"/>
      <c r="C4" s="47" t="s">
        <v>5</v>
      </c>
      <c r="D4" s="48">
        <v>2017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</v>
      </c>
      <c r="D5" s="53" t="s">
        <v>661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28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29</v>
      </c>
    </row>
    <row r="13" spans="1:9" ht="12.75" customHeight="1">
      <c r="A13" s="162" t="s">
        <v>22</v>
      </c>
      <c r="B13" s="163"/>
      <c r="C13" s="164"/>
      <c r="D13" s="168" t="s">
        <v>33</v>
      </c>
      <c r="E13" s="169"/>
      <c r="F13" s="170" t="s">
        <v>14</v>
      </c>
      <c r="G13" s="171"/>
      <c r="H13" s="171"/>
      <c r="I13" s="172"/>
    </row>
    <row r="14" spans="1:9" ht="12.75" customHeight="1">
      <c r="A14" s="165"/>
      <c r="B14" s="166"/>
      <c r="C14" s="167"/>
      <c r="D14" s="173" t="s">
        <v>46</v>
      </c>
      <c r="E14" s="174"/>
      <c r="F14" s="175" t="s">
        <v>35</v>
      </c>
      <c r="G14" s="176"/>
      <c r="H14" s="176" t="s">
        <v>36</v>
      </c>
      <c r="I14" s="177"/>
    </row>
    <row r="15" spans="1:9" ht="22.5">
      <c r="A15" s="165"/>
      <c r="B15" s="166"/>
      <c r="C15" s="167"/>
      <c r="D15" s="63" t="s">
        <v>11</v>
      </c>
      <c r="E15" s="23" t="s">
        <v>34</v>
      </c>
      <c r="F15" s="60" t="s">
        <v>12</v>
      </c>
      <c r="G15" s="22" t="s">
        <v>13</v>
      </c>
      <c r="H15" s="22" t="s">
        <v>12</v>
      </c>
      <c r="I15" s="74" t="s">
        <v>13</v>
      </c>
    </row>
    <row r="16" spans="1:9" ht="12.75" customHeight="1">
      <c r="A16" s="178" t="s">
        <v>18</v>
      </c>
      <c r="B16" s="179"/>
      <c r="C16" s="179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244</v>
      </c>
      <c r="G16" s="24">
        <f>SUM(G17:G21)</f>
        <v>175922.41</v>
      </c>
      <c r="H16" s="25">
        <f>SUM(H17:H21)</f>
        <v>0</v>
      </c>
      <c r="I16" s="95">
        <f>SUM(I17:I21)</f>
        <v>0</v>
      </c>
    </row>
    <row r="17" spans="1:9" ht="12.75" customHeight="1">
      <c r="A17" s="98"/>
      <c r="B17" s="99" t="s">
        <v>0</v>
      </c>
      <c r="C17" s="19" t="s">
        <v>7</v>
      </c>
      <c r="D17" s="66">
        <f>IF(F17+H17=0,0,SUMIF(xehet1!S:S,20,xehet1!T:T)/SUMIF(xehet1!S:S,20,xehet1!D:D))</f>
        <v>0</v>
      </c>
      <c r="E17" s="38">
        <f>IF(H17=0,0,SUMIF(xehet1!V:V,220,xehet1!T:T)/SUMIF(xehet1!V:V,220,xehet1!D:D))</f>
        <v>0</v>
      </c>
      <c r="F17" s="39">
        <f>COUNTIF(xehet1!V:V,120)</f>
        <v>8</v>
      </c>
      <c r="G17" s="26">
        <f>SUMIF(xehet1!V:V,120,xehet1!D:D)</f>
        <v>6984.510000000001</v>
      </c>
      <c r="H17" s="27">
        <f>COUNTIF(xehet1!V:V,220)</f>
        <v>0</v>
      </c>
      <c r="I17" s="85">
        <f>SUMIF(xehet1!V:V,220,xehet1!D:D)</f>
        <v>0</v>
      </c>
    </row>
    <row r="18" spans="1:9" ht="12.75" customHeight="1">
      <c r="A18" s="98"/>
      <c r="B18" s="99" t="s">
        <v>1</v>
      </c>
      <c r="C18" s="19" t="s">
        <v>19</v>
      </c>
      <c r="D18" s="66">
        <f>IF(F18+H18=0,0,SUMIF(xehet1!S:S,21,xehet1!T:T)/SUMIF(xehet1!S:S,21,xehet1!D:D))</f>
        <v>0</v>
      </c>
      <c r="E18" s="38">
        <f>IF(H18=0,0,SUMIF(xehet1!V:V,221,xehet1!T:T)/SUMIF(xehet1!V:V,221,xehet1!D:D))</f>
        <v>0</v>
      </c>
      <c r="F18" s="39">
        <f>COUNTIF(xehet1!V:V,121)</f>
        <v>24</v>
      </c>
      <c r="G18" s="26">
        <f>SUMIF(xehet1!V:V,121,xehet1!D:D)</f>
        <v>10271.82</v>
      </c>
      <c r="H18" s="27">
        <f>COUNTIF(xehet1!V:V,221)</f>
        <v>0</v>
      </c>
      <c r="I18" s="85">
        <f>SUMIF(xehet1!V:V,221,xehet1!D:D)</f>
        <v>0</v>
      </c>
    </row>
    <row r="19" spans="1:9" ht="12.75" customHeight="1">
      <c r="A19" s="98"/>
      <c r="B19" s="99" t="s">
        <v>2</v>
      </c>
      <c r="C19" s="19" t="s">
        <v>8</v>
      </c>
      <c r="D19" s="66">
        <f>IF(F19+H19=0,0,SUMIF(xehet1!S:S,22,xehet1!T:T)/SUMIF(xehet1!S:S,22,xehet1!D:D))</f>
        <v>0</v>
      </c>
      <c r="E19" s="38">
        <f>IF(H19=0,0,SUMIF(xehet1!V:V,222,xehet1!T:T)/SUMIF(xehet1!V:V,222,xehet1!D:D))</f>
        <v>0</v>
      </c>
      <c r="F19" s="39">
        <f>COUNTIF(xehet1!V:V,122)</f>
        <v>80</v>
      </c>
      <c r="G19" s="26">
        <f>SUMIF(xehet1!V:V,122,xehet1!D:D)</f>
        <v>37058.4</v>
      </c>
      <c r="H19" s="27">
        <f>COUNTIF(xehet1!V:V,222)</f>
        <v>0</v>
      </c>
      <c r="I19" s="85">
        <f>SUMIF(xehet1!V:V,222,xehet1!D:D)</f>
        <v>0</v>
      </c>
    </row>
    <row r="20" spans="1:9" ht="12.75" customHeight="1">
      <c r="A20" s="98"/>
      <c r="B20" s="99" t="s">
        <v>3</v>
      </c>
      <c r="C20" s="19" t="s">
        <v>9</v>
      </c>
      <c r="D20" s="66">
        <f>IF(F20+H20=0,0,SUMIF(xehet1!S:S,23,xehet1!T:T)/SUMIF(xehet1!S:S,23,xehet1!D:D))</f>
        <v>0</v>
      </c>
      <c r="E20" s="38">
        <f>IF(H20=0,0,SUMIF(xehet1!V:V,223,xehet1!T:T)/SUMIF(xehet1!V:V,223,xehet1!D:D))</f>
        <v>0</v>
      </c>
      <c r="F20" s="39">
        <f>COUNTIF(xehet1!V:V,123)</f>
        <v>0</v>
      </c>
      <c r="G20" s="26">
        <f>SUMIF(xehet1!V:V,123,xehet1!D:D)</f>
        <v>0</v>
      </c>
      <c r="H20" s="27">
        <f>COUNTIF(xehet1!V:V,223)</f>
        <v>0</v>
      </c>
      <c r="I20" s="85">
        <f>SUMIF(xehet1!V:V,223,xehet1!D:D)</f>
        <v>0</v>
      </c>
    </row>
    <row r="21" spans="1:9" ht="12.75" customHeight="1">
      <c r="A21" s="98"/>
      <c r="B21" s="99" t="s">
        <v>24</v>
      </c>
      <c r="C21" s="19" t="s">
        <v>23</v>
      </c>
      <c r="D21" s="66">
        <f>IF(F21+H21=0,0,SUMIF(xehet1!S:S,29,xehet1!T:T)/SUMIF(xehet1!S:S,29,xehet1!D:D))</f>
        <v>0</v>
      </c>
      <c r="E21" s="38">
        <f>IF(H21=0,0,SUMIF(xehet1!V:V,229,xehet1!T:T)/SUMIF(xehet1!V:V,229,xehet1!D:D))</f>
        <v>0</v>
      </c>
      <c r="F21" s="39">
        <f>COUNTIF(xehet1!V:V,129)</f>
        <v>132</v>
      </c>
      <c r="G21" s="26">
        <f>SUMIF(xehet1!V:V,129,xehet1!D:D)</f>
        <v>121607.68</v>
      </c>
      <c r="H21" s="27">
        <f>COUNTIF(xehet1!V:V,229)</f>
        <v>0</v>
      </c>
      <c r="I21" s="85">
        <f>SUMIF(xehet1!V:V,229,xehet1!D:D)</f>
        <v>0</v>
      </c>
    </row>
    <row r="22" spans="1:9" ht="12.75" customHeight="1">
      <c r="A22" s="178" t="s">
        <v>10</v>
      </c>
      <c r="B22" s="179"/>
      <c r="C22" s="179"/>
      <c r="D22" s="64">
        <f aca="true" t="shared" si="0" ref="D22:I22">D23</f>
        <v>0</v>
      </c>
      <c r="E22" s="65">
        <f t="shared" si="0"/>
        <v>0</v>
      </c>
      <c r="F22" s="62">
        <f t="shared" si="0"/>
        <v>0</v>
      </c>
      <c r="G22" s="29">
        <f t="shared" si="0"/>
        <v>0</v>
      </c>
      <c r="H22" s="28">
        <f t="shared" si="0"/>
        <v>0</v>
      </c>
      <c r="I22" s="95">
        <f t="shared" si="0"/>
        <v>0</v>
      </c>
    </row>
    <row r="23" spans="1:9" ht="12.75" customHeight="1">
      <c r="A23" s="98"/>
      <c r="B23" s="100" t="s">
        <v>26</v>
      </c>
      <c r="C23" s="101" t="s">
        <v>27</v>
      </c>
      <c r="D23" s="66">
        <f>IF(F23+H23=0,0,SUMIF(xehet1!S:S,69,xehet1!T:T)/SUMIF(xehet1!S:S,69,xehet1!D:D))</f>
        <v>0</v>
      </c>
      <c r="E23" s="38">
        <f>IF(H23=0,0,SUMIF(xehet1!V:V,269,xehet1!T:T)/SUMIF(xehet1!V:V,269,xehet1!D:D))</f>
        <v>0</v>
      </c>
      <c r="F23" s="39">
        <f>COUNTIF(xehet1!V:V,169)</f>
        <v>0</v>
      </c>
      <c r="G23" s="26">
        <f>SUMIF(xehet1!V:V,169,xehet1!D:D)</f>
        <v>0</v>
      </c>
      <c r="H23" s="27">
        <f>COUNTIF(xehet1!V:V,269)</f>
        <v>0</v>
      </c>
      <c r="I23" s="85">
        <f>SUMIF(xehet1!V:V,269,xehet1!D:D)</f>
        <v>0</v>
      </c>
    </row>
    <row r="24" spans="1:9" ht="12.75" customHeight="1">
      <c r="A24" s="178" t="s">
        <v>66</v>
      </c>
      <c r="B24" s="179"/>
      <c r="C24" s="179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80" t="s">
        <v>25</v>
      </c>
      <c r="C25" s="180"/>
      <c r="D25" s="106"/>
      <c r="E25" s="107"/>
      <c r="F25" s="108"/>
      <c r="G25" s="109"/>
      <c r="H25" s="110"/>
      <c r="I25" s="111"/>
    </row>
    <row r="26" spans="1:9" ht="12.75" customHeight="1" thickBot="1">
      <c r="A26" s="181" t="s">
        <v>11</v>
      </c>
      <c r="B26" s="182"/>
      <c r="C26" s="182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244</v>
      </c>
      <c r="G26" s="78">
        <f>G16+G22+G24</f>
        <v>175922.41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68</v>
      </c>
      <c r="D27" s="72">
        <f>IF(SUM(xehet1!D:D)=0,0,SUM(xehet1!T:T)/SUM(xehet1!D:D))-IF((G16+I16+G22+I22)=0,0,(D16*(G16+I16)+D22*(G22+I22))/(G16+I16+G22+I22))</f>
        <v>0</v>
      </c>
      <c r="E27" s="72">
        <f>IF(SUMIF(xehet1!V:V,"&gt;199",xehet1!D:D)=0,0,SUMIF(xehet1!V:V,"&gt;199",xehet1!T:T)/SUMIF(xehet1!V:V,"&gt;199",xehet1!D:D))-IF(I16+I22=0,0,(E16*I16+E22*I22)/(I16+I22))</f>
        <v>0</v>
      </c>
      <c r="F27" s="72">
        <f>COUNTIF(xehet1!P:P,"&lt;=30")-F26+F25</f>
        <v>0</v>
      </c>
      <c r="G27" s="72">
        <f>SUMIF(xehet1!P:P,"&lt;=30",xehet1!D:D)-G26+G25</f>
        <v>2.9103830456733704E-11</v>
      </c>
      <c r="H27" s="72">
        <f>COUNTIF(xehet1!P:P,"&gt;30")-H26+H25</f>
        <v>0</v>
      </c>
      <c r="I27" s="72">
        <f>SUMIF(xehet1!P:P,"&gt;30",xehet1!D:D)-I26+I25</f>
        <v>0</v>
      </c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30</v>
      </c>
    </row>
    <row r="31" spans="1:7" ht="12.75" customHeight="1">
      <c r="A31" s="162" t="s">
        <v>56</v>
      </c>
      <c r="B31" s="163"/>
      <c r="C31" s="183"/>
      <c r="D31" s="185" t="s">
        <v>57</v>
      </c>
      <c r="E31" s="186"/>
      <c r="F31" s="186"/>
      <c r="G31" s="187"/>
    </row>
    <row r="32" spans="1:7" ht="12.75" customHeight="1">
      <c r="A32" s="165"/>
      <c r="B32" s="166"/>
      <c r="C32" s="184"/>
      <c r="D32" s="60" t="s">
        <v>58</v>
      </c>
      <c r="E32" s="22" t="s">
        <v>59</v>
      </c>
      <c r="F32" s="22" t="s">
        <v>13</v>
      </c>
      <c r="G32" s="74" t="s">
        <v>59</v>
      </c>
    </row>
    <row r="33" spans="1:7" ht="12.75" customHeight="1">
      <c r="A33" s="98"/>
      <c r="B33" s="188" t="s">
        <v>39</v>
      </c>
      <c r="C33" s="189"/>
      <c r="D33" s="70">
        <f>COUNTIF(xehet1!P:P,"&lt;=30")+F25</f>
        <v>244</v>
      </c>
      <c r="E33" s="32">
        <f>IF($D$38=0,0,D33*100/$D$38)</f>
        <v>100</v>
      </c>
      <c r="F33" s="32">
        <f>SUMIF(xehet1!P:P,"&lt;=30",xehet1!D:D)+G25</f>
        <v>175922.41000000003</v>
      </c>
      <c r="G33" s="112">
        <f>IF($F$38=0,0,F33*100/$F$38)</f>
        <v>100</v>
      </c>
    </row>
    <row r="34" spans="1:7" ht="12.75" customHeight="1">
      <c r="A34" s="98"/>
      <c r="B34" s="190" t="s">
        <v>60</v>
      </c>
      <c r="C34" s="191"/>
      <c r="D34" s="71">
        <f>COUNTIF(xehet1!P:P,"&lt;=40")-D33+F25+IF(AND(E25&gt;30,E25&lt;=40),H25)</f>
        <v>0</v>
      </c>
      <c r="E34" s="26">
        <f>IF($D$38=0,0,D34*100/$D$38)</f>
        <v>0</v>
      </c>
      <c r="F34" s="26">
        <f>SUMIF(xehet1!P:P,"&lt;=40",xehet1!D:D)-F33+G25+IF(AND(E25&gt;30,E25&lt;=40),I25)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61</v>
      </c>
      <c r="C35" s="103"/>
      <c r="D35" s="71">
        <f>COUNTIF(xehet1!P:P,"&lt;=50")-SUM(D33:D34)+F25+IF(E25&lt;=50,H25)</f>
        <v>0</v>
      </c>
      <c r="E35" s="26">
        <f>IF($D$38=0,0,D35*100/$D$38)</f>
        <v>0</v>
      </c>
      <c r="F35" s="26">
        <f>SUMIF(xehet1!P:P,"&lt;=50",xehet1!D:D)-SUM(F33:F34)+G25+IF(E25&lt;=50,I25)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188" t="s">
        <v>62</v>
      </c>
      <c r="C36" s="189"/>
      <c r="D36" s="71">
        <f>COUNTIF(xehet1!P:P,"&lt;=60")-SUM(D33:D35)+F25+IF(E25&lt;=60,H25)</f>
        <v>0</v>
      </c>
      <c r="E36" s="26">
        <f>IF($D$38=0,0,D36*100/$D$38)</f>
        <v>0</v>
      </c>
      <c r="F36" s="26">
        <f>SUMIF(xehet1!P:P,"&lt;=60",xehet1!D:D)-SUM(F33:F35)+G25+IF(E25&lt;=60,I25)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80" t="s">
        <v>63</v>
      </c>
      <c r="C37" s="192"/>
      <c r="D37" s="94">
        <f>COUNTIF(xehet1!P:P,"&gt;60")+IF(E25&gt;60,H25)</f>
        <v>0</v>
      </c>
      <c r="E37" s="26">
        <f>IF($D$38=0,0,D37*100/$D$38)</f>
        <v>0</v>
      </c>
      <c r="F37" s="30">
        <f>SUMIF(xehet1!P:P,"&gt;60",xehet1!D:D)+IF(E25&gt;60,I25)</f>
        <v>0</v>
      </c>
      <c r="G37" s="85">
        <f>IF($F$38=0,0,F37*100/$F$38)</f>
        <v>0</v>
      </c>
    </row>
    <row r="38" spans="1:7" ht="12.75" customHeight="1" thickBot="1">
      <c r="A38" s="193" t="s">
        <v>11</v>
      </c>
      <c r="B38" s="194"/>
      <c r="C38" s="195"/>
      <c r="D38" s="80">
        <f>SUM(D33:D37)</f>
        <v>244</v>
      </c>
      <c r="E38" s="81">
        <f>SUM(E33:E37)</f>
        <v>100</v>
      </c>
      <c r="F38" s="81">
        <f>SUM(F33:F37)</f>
        <v>175922.41000000003</v>
      </c>
      <c r="G38" s="82">
        <f>SUM(G33:G37)</f>
        <v>100</v>
      </c>
    </row>
    <row r="39" spans="1:6" ht="12.75" customHeight="1">
      <c r="A39" s="33"/>
      <c r="B39" s="33"/>
      <c r="C39" s="33"/>
      <c r="D39" s="72">
        <f>COUNT(xehet1!D:D)-D38+F25+H25</f>
        <v>0</v>
      </c>
      <c r="E39" s="72"/>
      <c r="F39" s="72">
        <f>SUM(xehet1!D:D)-F38+G25+I25</f>
        <v>0</v>
      </c>
    </row>
    <row r="40" spans="1:6" ht="12.75" customHeight="1">
      <c r="A40" s="33"/>
      <c r="B40" s="33"/>
      <c r="C40" s="33"/>
      <c r="D40" s="72">
        <f>F26+H26-D38</f>
        <v>0</v>
      </c>
      <c r="E40" s="72"/>
      <c r="F40" s="72">
        <f>G26+I26-F38</f>
        <v>0</v>
      </c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62" t="s">
        <v>32</v>
      </c>
      <c r="B45" s="163"/>
      <c r="C45" s="164"/>
      <c r="D45" s="168" t="s">
        <v>43</v>
      </c>
      <c r="E45" s="169"/>
      <c r="F45" s="170" t="s">
        <v>16</v>
      </c>
      <c r="G45" s="171"/>
      <c r="H45" s="171"/>
      <c r="I45" s="172"/>
    </row>
    <row r="46" spans="1:9" ht="12.75" customHeight="1">
      <c r="A46" s="165"/>
      <c r="B46" s="166"/>
      <c r="C46" s="167"/>
      <c r="D46" s="173" t="s">
        <v>46</v>
      </c>
      <c r="E46" s="174"/>
      <c r="F46" s="175" t="s">
        <v>35</v>
      </c>
      <c r="G46" s="176"/>
      <c r="H46" s="176" t="s">
        <v>36</v>
      </c>
      <c r="I46" s="177"/>
    </row>
    <row r="47" spans="1:9" ht="22.5">
      <c r="A47" s="165"/>
      <c r="B47" s="166"/>
      <c r="C47" s="167"/>
      <c r="D47" s="63" t="s">
        <v>11</v>
      </c>
      <c r="E47" s="23" t="s">
        <v>34</v>
      </c>
      <c r="F47" s="60" t="s">
        <v>15</v>
      </c>
      <c r="G47" s="22" t="s">
        <v>13</v>
      </c>
      <c r="H47" s="22" t="s">
        <v>15</v>
      </c>
      <c r="I47" s="74" t="s">
        <v>13</v>
      </c>
    </row>
    <row r="48" spans="1:9" ht="12.75" customHeight="1">
      <c r="A48" s="196" t="s">
        <v>18</v>
      </c>
      <c r="B48" s="197"/>
      <c r="C48" s="198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">
        <v>7</v>
      </c>
      <c r="D49" s="66">
        <f>IF(F49+H49=0,0,SUMIF(xehet2!S:S,20,xehet2!T:T)/SUMIF(xehet2!S:S,20,xehet2!D:D))</f>
        <v>0</v>
      </c>
      <c r="E49" s="38">
        <f>IF(H49=0,0,SUMIF(xehet2!V:V,220,xehet2!T:T)/SUMIF(xehet2!V:V,220,xehet2!D:D))</f>
        <v>0</v>
      </c>
      <c r="F49" s="39">
        <f>COUNTIF(xehet2!V:V,120)</f>
        <v>0</v>
      </c>
      <c r="G49" s="26">
        <f>SUMIF(xehet2!V:V,120,xehet2!D:D)</f>
        <v>0</v>
      </c>
      <c r="H49" s="27">
        <f>COUNTIF(xehet2!V:V,220)</f>
        <v>0</v>
      </c>
      <c r="I49" s="85">
        <f>SUMIF(xehet2!V:V,220,xehet2!D:D)</f>
        <v>0</v>
      </c>
    </row>
    <row r="50" spans="1:9" ht="12.75" customHeight="1">
      <c r="A50" s="98"/>
      <c r="B50" s="99" t="s">
        <v>1</v>
      </c>
      <c r="C50" s="19" t="s">
        <v>89</v>
      </c>
      <c r="D50" s="66">
        <f>IF(F50+H50=0,0,SUMIF(xehet2!S:S,21,xehet2!T:T)/SUMIF(xehet2!S:S,21,xehet2!D:D))</f>
        <v>0</v>
      </c>
      <c r="E50" s="38">
        <f>IF(H50=0,0,SUMIF(xehet2!V:V,221,xehet2!T:T)/SUMIF(xehet2!V:V,221,xehet2!D:D))</f>
        <v>0</v>
      </c>
      <c r="F50" s="39">
        <f>COUNTIF(xehet2!V:V,121)</f>
        <v>0</v>
      </c>
      <c r="G50" s="26">
        <f>SUMIF(xehet2!V:V,121,xehet2!D:D)</f>
        <v>0</v>
      </c>
      <c r="H50" s="27">
        <f>COUNTIF(xehet2!V:V,221)</f>
        <v>0</v>
      </c>
      <c r="I50" s="85">
        <f>SUMIF(xehet2!V:V,221,xehet2!D:D)</f>
        <v>0</v>
      </c>
    </row>
    <row r="51" spans="1:9" ht="12.75" customHeight="1">
      <c r="A51" s="98"/>
      <c r="B51" s="99" t="s">
        <v>2</v>
      </c>
      <c r="C51" s="19" t="s">
        <v>90</v>
      </c>
      <c r="D51" s="66">
        <f>IF(F51+H51=0,0,SUMIF(xehet2!S:S,22,xehet2!T:T)/SUMIF(xehet2!S:S,22,xehet2!D:D))</f>
        <v>0</v>
      </c>
      <c r="E51" s="38">
        <f>IF(H51=0,0,SUMIF(xehet2!V:V,222,xehet2!T:T)/SUMIF(xehet2!V:V,222,xehet2!D:D))</f>
        <v>0</v>
      </c>
      <c r="F51" s="39">
        <f>COUNTIF(xehet2!V:V,122)</f>
        <v>0</v>
      </c>
      <c r="G51" s="26">
        <f>SUMIF(xehet2!V:V,122,xehet2!D:D)</f>
        <v>0</v>
      </c>
      <c r="H51" s="27">
        <f>COUNTIF(xehet2!V:V,222)</f>
        <v>0</v>
      </c>
      <c r="I51" s="85">
        <f>SUMIF(xehet2!V:V,222,xehet2!D:D)</f>
        <v>0</v>
      </c>
    </row>
    <row r="52" spans="1:9" ht="12.75" customHeight="1">
      <c r="A52" s="98"/>
      <c r="B52" s="99" t="s">
        <v>3</v>
      </c>
      <c r="C52" s="19" t="s">
        <v>91</v>
      </c>
      <c r="D52" s="66">
        <f>IF(F52+H52=0,0,SUMIF(xehet2!S:S,23,xehet2!T:T)/SUMIF(xehet2!S:S,23,xehet2!D:D))</f>
        <v>0</v>
      </c>
      <c r="E52" s="38">
        <f>IF(H52=0,0,SUMIF(xehet2!V:V,223,xehet2!T:T)/SUMIF(xehet2!V:V,223,xehet2!D:D))</f>
        <v>0</v>
      </c>
      <c r="F52" s="39">
        <f>COUNTIF(xehet2!V:V,123)</f>
        <v>0</v>
      </c>
      <c r="G52" s="26">
        <f>SUMIF(xehet2!V:V,123,xehet2!D:D)</f>
        <v>0</v>
      </c>
      <c r="H52" s="27">
        <f>COUNTIF(xehet2!V:V,223)</f>
        <v>0</v>
      </c>
      <c r="I52" s="85">
        <f>SUMIF(xehet2!V:V,223,xehet2!D:D)</f>
        <v>0</v>
      </c>
    </row>
    <row r="53" spans="1:9" ht="12.75" customHeight="1">
      <c r="A53" s="98"/>
      <c r="B53" s="99" t="s">
        <v>104</v>
      </c>
      <c r="C53" s="19" t="s">
        <v>23</v>
      </c>
      <c r="D53" s="66">
        <f>IF(F53+H53=0,0,SUMIF(xehet2!S:S,29,xehet2!T:T)/SUMIF(xehet2!S:S,29,xehet2!D:D))</f>
        <v>0</v>
      </c>
      <c r="E53" s="38">
        <f>IF(H53=0,0,SUMIF(xehet2!V:V,229,xehet2!T:T)/SUMIF(xehet2!V:V,229,xehet2!D:D))</f>
        <v>0</v>
      </c>
      <c r="F53" s="39">
        <f>COUNTIF(xehet2!V:V,129)</f>
        <v>0</v>
      </c>
      <c r="G53" s="26">
        <f>SUMIF(xehet2!V:V,129,xehet2!D:D)</f>
        <v>0</v>
      </c>
      <c r="H53" s="27">
        <f>COUNTIF(xehet2!V:V,229)</f>
        <v>0</v>
      </c>
      <c r="I53" s="85">
        <f>SUMIF(xehet2!V:V,229,xehet2!D:D)</f>
        <v>0</v>
      </c>
    </row>
    <row r="54" spans="1:9" ht="12.75" customHeight="1">
      <c r="A54" s="178" t="s">
        <v>10</v>
      </c>
      <c r="B54" s="179"/>
      <c r="C54" s="179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3">
        <v>69</v>
      </c>
      <c r="C55" s="101" t="s">
        <v>27</v>
      </c>
      <c r="D55" s="66">
        <f>IF(F55+H55=0,0,SUMIF(xehet2!S:S,69,xehet2!T:T)/SUMIF(xehet2!S:S,69,xehet2!D:D))</f>
        <v>0</v>
      </c>
      <c r="E55" s="38">
        <f>IF(H55=0,0,SUMIF(xehet2!V:V,269,xehet2!T:T)/SUMIF(xehet2!V:V,269,xehet2!D:D))</f>
        <v>0</v>
      </c>
      <c r="F55" s="39">
        <f>COUNTIF(xehet2!V:V,169)</f>
        <v>0</v>
      </c>
      <c r="G55" s="26">
        <f>SUMIF(xehet2!V:V,169,xehet2!D:D)</f>
        <v>0</v>
      </c>
      <c r="H55" s="27">
        <f>COUNTIF(xehet2!V:V,269)</f>
        <v>0</v>
      </c>
      <c r="I55" s="85">
        <f>SUMIF(xehet2!V:V,269,xehet2!D:D)</f>
        <v>0</v>
      </c>
    </row>
    <row r="56" spans="1:9" ht="12.75" customHeight="1">
      <c r="A56" s="199" t="s">
        <v>67</v>
      </c>
      <c r="B56" s="200"/>
      <c r="C56" s="201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02" t="s">
        <v>20</v>
      </c>
      <c r="C57" s="203"/>
      <c r="D57" s="106"/>
      <c r="E57" s="107"/>
      <c r="F57" s="108"/>
      <c r="G57" s="109"/>
      <c r="H57" s="110"/>
      <c r="I57" s="111"/>
    </row>
    <row r="58" spans="1:9" ht="12.75" customHeight="1" thickBot="1">
      <c r="A58" s="204" t="s">
        <v>11</v>
      </c>
      <c r="B58" s="205"/>
      <c r="C58" s="206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68</v>
      </c>
      <c r="D59" s="72">
        <f>IF(SUM(xehet2!D:D)=0,0,SUM(xehet2!T:T)/SUM(xehet2!D:D))-IF((G48+I48+G54+I54)=0,0,(D48*(G48+I48)+D54*(G54+I54))/(G48+I48+G54+I54))</f>
        <v>0</v>
      </c>
      <c r="E59" s="72">
        <f>IF(SUMIF(xehet2!V:V,"&gt;199",xehet2!D:D)=0,0,SUMIF(xehet2!V:V,"&gt;199",xehet2!T:T)/SUMIF(xehet2!V:V,"&gt;199",xehet2!D:D))-IF(I48+I54=0,0,(E48*I48+E54*I54)/(I48+I54))</f>
        <v>0</v>
      </c>
      <c r="F59" s="72">
        <f>COUNTIF(xehet2!P:P,"&lt;=30")-F58+F57</f>
        <v>0</v>
      </c>
      <c r="G59" s="72">
        <f>SUMIF(xehet2!P:P,"&lt;=30",xehet2!D:D)-G58+G57</f>
        <v>0</v>
      </c>
      <c r="H59" s="72">
        <f>COUNTIF(xehet2!P:P,"&gt;30")-H58+H57</f>
        <v>0</v>
      </c>
      <c r="I59" s="72">
        <f>SUMIF(xehet2!P:P,"&gt;30",xehet2!D:D)-I58+I57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64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38</v>
      </c>
    </row>
    <row r="67" spans="1:7" ht="33.75">
      <c r="A67" s="162" t="s">
        <v>31</v>
      </c>
      <c r="B67" s="163"/>
      <c r="C67" s="183"/>
      <c r="D67" s="83" t="s">
        <v>45</v>
      </c>
      <c r="E67" s="73" t="s">
        <v>17</v>
      </c>
      <c r="F67" s="84" t="s">
        <v>13</v>
      </c>
      <c r="G67" s="36"/>
    </row>
    <row r="68" spans="1:6" ht="12.75" customHeight="1">
      <c r="A68" s="105"/>
      <c r="B68" s="207" t="s">
        <v>18</v>
      </c>
      <c r="C68" s="208"/>
      <c r="D68" s="67">
        <f>IF(E68=0,0,SUMIF(xehet32!T:T,22,xehet32!R:R)/SUMIF(xehet32!T:T,22,xehet32!D:D))</f>
        <v>0</v>
      </c>
      <c r="E68" s="37">
        <f>COUNTIF(xehet32!T:T,22)</f>
        <v>0</v>
      </c>
      <c r="F68" s="85">
        <f>SUMIF(xehet32!T:T,22,xehet32!D:D)</f>
        <v>0</v>
      </c>
    </row>
    <row r="69" spans="1:6" ht="12.75" customHeight="1">
      <c r="A69" s="98"/>
      <c r="B69" s="190" t="s">
        <v>10</v>
      </c>
      <c r="C69" s="191"/>
      <c r="D69" s="67">
        <f>IF(E69=0,0,SUMIF(xehet32!T:T,26,xehet32!R:R)/SUMIF(xehet32!T:T,26,xehet32!D:D))</f>
        <v>0</v>
      </c>
      <c r="E69" s="37">
        <f>COUNTIF(xehet32!T:T,26)</f>
        <v>0</v>
      </c>
      <c r="F69" s="85">
        <f>SUMIF(xehet32!T:T,26,xehet32!D:D)</f>
        <v>0</v>
      </c>
    </row>
    <row r="70" spans="1:6" ht="12.75" customHeight="1">
      <c r="A70" s="104"/>
      <c r="B70" s="180" t="s">
        <v>20</v>
      </c>
      <c r="C70" s="192"/>
      <c r="D70" s="67">
        <f>IF(E70=0,0,SUMIF(xehet32!T:T,29,xehet32!R:R)/SUMIF(xehet32!T:T,29,xehet32!D:D))</f>
        <v>0</v>
      </c>
      <c r="E70" s="37">
        <f>COUNTIF(xehet32!T:T,29)</f>
        <v>0</v>
      </c>
      <c r="F70" s="85">
        <f>SUMIF(xehet32!T:T,29,xehet32!D:D)</f>
        <v>0</v>
      </c>
    </row>
    <row r="71" spans="1:6" ht="12.75" customHeight="1" thickBot="1">
      <c r="A71" s="209" t="s">
        <v>11</v>
      </c>
      <c r="B71" s="210"/>
      <c r="C71" s="211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IF(D73=0,0,(SUMIF(xehet32!O:O,"&gt;90",xehet32!R:R)/SUMIF(xehet32!O:O,"&gt;90",xehet32!D:D)))-IF(D71="",0,D71)</f>
        <v>0</v>
      </c>
      <c r="E72" s="72">
        <f>COUNTIF(xehet32!O:O,"&gt;90")-E71</f>
        <v>0</v>
      </c>
      <c r="F72" s="72">
        <f>SUMIF(xehet32!O:O,"&gt;90",xehet32!D:D)-F71</f>
        <v>0</v>
      </c>
    </row>
    <row r="73" spans="4:6" ht="12.75" customHeight="1">
      <c r="D73" s="113">
        <f>SUMIF(xehet32!O:O,"&gt;90",xehet32!D:D)</f>
        <v>0</v>
      </c>
      <c r="E73" s="34"/>
      <c r="F73" s="34"/>
    </row>
    <row r="74" s="18" customFormat="1" ht="13.5" thickBot="1">
      <c r="A74" s="1" t="s">
        <v>47</v>
      </c>
    </row>
    <row r="75" spans="1:7" ht="12.75" customHeight="1">
      <c r="A75" s="162" t="s">
        <v>48</v>
      </c>
      <c r="B75" s="163"/>
      <c r="C75" s="183"/>
      <c r="D75" s="185" t="s">
        <v>65</v>
      </c>
      <c r="E75" s="186"/>
      <c r="F75" s="186"/>
      <c r="G75" s="187"/>
    </row>
    <row r="76" spans="1:7" ht="12.75" customHeight="1">
      <c r="A76" s="165"/>
      <c r="B76" s="166"/>
      <c r="C76" s="184"/>
      <c r="D76" s="60" t="s">
        <v>58</v>
      </c>
      <c r="E76" s="22" t="s">
        <v>59</v>
      </c>
      <c r="F76" s="22" t="s">
        <v>13</v>
      </c>
      <c r="G76" s="74" t="s">
        <v>59</v>
      </c>
    </row>
    <row r="77" spans="1:7" ht="12.75" customHeight="1">
      <c r="A77" s="105"/>
      <c r="B77" s="207" t="s">
        <v>39</v>
      </c>
      <c r="C77" s="208"/>
      <c r="D77" s="39">
        <f>COUNTIF(xehet32!O:O,"&lt;=30")</f>
        <v>2</v>
      </c>
      <c r="E77" s="40">
        <f>IF($D$81=0,0,D77*100/$D$81)</f>
        <v>100</v>
      </c>
      <c r="F77" s="26">
        <f>SUMIF(xehet32!O:O,"&lt;=30",xehet32!D:D)</f>
        <v>596.88</v>
      </c>
      <c r="G77" s="88">
        <f>IF($F$81=0,0,F77*100/$F$81)</f>
        <v>100</v>
      </c>
    </row>
    <row r="78" spans="1:7" ht="12.75" customHeight="1">
      <c r="A78" s="98"/>
      <c r="B78" s="190" t="s">
        <v>40</v>
      </c>
      <c r="C78" s="191"/>
      <c r="D78" s="39">
        <f>COUNTIF(xehet32!O:O,"&lt;=60")-D77</f>
        <v>0</v>
      </c>
      <c r="E78" s="40">
        <f>IF($D$81=0,0,D78*100/$D$81)</f>
        <v>0</v>
      </c>
      <c r="F78" s="26">
        <f>SUMIF(xehet32!O:O,"&lt;=60",xehet32!D:D)-F77</f>
        <v>0</v>
      </c>
      <c r="G78" s="88">
        <f>IF($F$81=0,0,F78*100/$F$81)</f>
        <v>0</v>
      </c>
    </row>
    <row r="79" spans="1:7" ht="12.75" customHeight="1">
      <c r="A79" s="98"/>
      <c r="B79" s="188" t="s">
        <v>41</v>
      </c>
      <c r="C79" s="189"/>
      <c r="D79" s="39">
        <f>COUNTIF(xehet32!O:O,"&lt;=90")-SUM(D77:D78)</f>
        <v>0</v>
      </c>
      <c r="E79" s="40">
        <f>IF($D$81=0,0,D79*100/$D$81)</f>
        <v>0</v>
      </c>
      <c r="F79" s="26">
        <f>SUMIF(xehet32!O:O,"&lt;=90",xehet32!D:D)-SUM(F77:F78)</f>
        <v>0</v>
      </c>
      <c r="G79" s="88">
        <f>IF($F$81=0,0,F79*100/$F$81)</f>
        <v>0</v>
      </c>
    </row>
    <row r="80" spans="1:7" ht="12.75" customHeight="1">
      <c r="A80" s="98"/>
      <c r="B80" s="188" t="s">
        <v>42</v>
      </c>
      <c r="C80" s="189"/>
      <c r="D80" s="39">
        <f>COUNTIF(xehet32!O:O,"&gt;90")</f>
        <v>0</v>
      </c>
      <c r="E80" s="40">
        <f>IF($D$81=0,0,D80*100/$D$81)</f>
        <v>0</v>
      </c>
      <c r="F80" s="26">
        <f>SUMIF(xehet32!O:O,"&gt;90",xehet32!D:D)</f>
        <v>0</v>
      </c>
      <c r="G80" s="88">
        <f>IF($F$81=0,0,F80*100/$F$81)</f>
        <v>0</v>
      </c>
    </row>
    <row r="81" spans="1:7" ht="12.75" customHeight="1" thickBot="1">
      <c r="A81" s="214" t="s">
        <v>11</v>
      </c>
      <c r="B81" s="215"/>
      <c r="C81" s="216"/>
      <c r="D81" s="77">
        <f>SUM(D77:D80)</f>
        <v>2</v>
      </c>
      <c r="E81" s="89">
        <f>SUM(E77:E80)</f>
        <v>100</v>
      </c>
      <c r="F81" s="78">
        <f>SUM(F77:F80)</f>
        <v>596.88</v>
      </c>
      <c r="G81" s="90">
        <f>SUM(G77:G80)</f>
        <v>100</v>
      </c>
    </row>
    <row r="82" spans="1:7" ht="12.75" customHeight="1">
      <c r="A82" s="33"/>
      <c r="B82" s="33"/>
      <c r="C82" s="33"/>
      <c r="D82" s="72">
        <f>COUNT(xehet32!D:D)-D81</f>
        <v>32</v>
      </c>
      <c r="E82" s="72"/>
      <c r="F82" s="72">
        <f>SUM(xehet32!D:D)-F81</f>
        <v>40754.850000000006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>
        <f>F71-F80</f>
        <v>0</v>
      </c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49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217" t="s">
        <v>51</v>
      </c>
      <c r="B88" s="218"/>
      <c r="C88" s="219"/>
      <c r="D88" s="228" t="s">
        <v>53</v>
      </c>
      <c r="E88" s="229"/>
      <c r="F88" s="228" t="s">
        <v>54</v>
      </c>
      <c r="G88" s="229"/>
      <c r="H88" s="223" t="s">
        <v>50</v>
      </c>
    </row>
    <row r="89" spans="1:8" ht="12.75" customHeight="1">
      <c r="A89" s="220"/>
      <c r="B89" s="221"/>
      <c r="C89" s="222"/>
      <c r="D89" s="68" t="s">
        <v>52</v>
      </c>
      <c r="E89" s="69" t="s">
        <v>44</v>
      </c>
      <c r="F89" s="68" t="s">
        <v>52</v>
      </c>
      <c r="G89" s="69" t="s">
        <v>44</v>
      </c>
      <c r="H89" s="224"/>
    </row>
    <row r="90" spans="1:8" ht="12.75" customHeight="1" thickBot="1">
      <c r="A90" s="225" t="str">
        <f>D3</f>
        <v>OARSOALDEA</v>
      </c>
      <c r="B90" s="226"/>
      <c r="C90" s="227"/>
      <c r="D90" s="91">
        <f>IF((SUM(xehet1!D:D)+G24+I24)=0,0,(SUM(xehet1!U:U)+D24*(G24+I24))/(SUM(xehet1!D:D)+G24+I24))</f>
        <v>-25.77182389668263</v>
      </c>
      <c r="E90" s="92">
        <f>SUM(xehet1!D:D)+G24+I24</f>
        <v>175922.41000000003</v>
      </c>
      <c r="F90" s="91">
        <f>IF((SUM(xehet2!D:D)+SUM(xehet32!D:D)+G56+I56)=0,0,(SUM(xehet2!U:U)+SUM(xehet32!S:S)+D56*(G56+I56))/(SUM(xehet2!D:D)+SUM(xehet32!D:D)+G56+I56))</f>
        <v>0</v>
      </c>
      <c r="G90" s="92">
        <f>SUM(xehet2!D:D)+SUM(xehet32!D:D)+G56+I56</f>
        <v>41351.73</v>
      </c>
      <c r="H90" s="93">
        <f>IF(E90=0,F90,IF(G90=0,D90,(D90*E90+F90*G90)/(E90+G90)))</f>
        <v>-20.866916651931053</v>
      </c>
    </row>
    <row r="91" spans="4:8" ht="12.75" customHeight="1">
      <c r="D91" s="31"/>
      <c r="E91" s="72">
        <f>E90-F38</f>
        <v>0</v>
      </c>
      <c r="F91" s="72"/>
      <c r="G91" s="72">
        <f>G90-G58-I58-F81</f>
        <v>40754.850000000006</v>
      </c>
      <c r="H91" s="72">
        <f>IF(H92=0,0,(SUM(xehet1!U:U)+SUM(xehet2!U:U)+SUM(xehet32!S:S)+D24*(G24+I24)+D56*(G56+I56))/(SUM(xehet1!D:D)+SUM(xehet2!D:D)+SUM(xehet32!D:D)+G24+I24+G56+I56))-IF(H90="",0,H90)</f>
        <v>0</v>
      </c>
    </row>
    <row r="92" spans="1:8" ht="12.75" customHeight="1" thickBot="1">
      <c r="A92" s="4" t="s">
        <v>55</v>
      </c>
      <c r="E92" s="34"/>
      <c r="F92" s="34"/>
      <c r="G92" s="34"/>
      <c r="H92" s="114">
        <f>(SUM(xehet1!D:D)+SUM(xehet2!D:D)+SUM(xehet32!D:D)+G24+I24+G56+I56)</f>
        <v>217274.14000000004</v>
      </c>
    </row>
    <row r="93" spans="2:8" ht="43.5" customHeight="1" thickBot="1">
      <c r="B93" s="212"/>
      <c r="C93" s="213"/>
      <c r="E93" s="34"/>
      <c r="F93" s="34"/>
      <c r="G93" s="34"/>
      <c r="H93" s="34"/>
    </row>
  </sheetData>
  <sheetProtection/>
  <mergeCells count="50"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A45:C47"/>
    <mergeCell ref="D45:E45"/>
    <mergeCell ref="A48:C48"/>
    <mergeCell ref="A54:C54"/>
    <mergeCell ref="A56:C56"/>
    <mergeCell ref="B57:C57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Y24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28.00390625" style="128" bestFit="1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421875" style="14" bestFit="1" customWidth="1"/>
    <col min="12" max="12" width="9.00390625" style="14" bestFit="1" customWidth="1"/>
    <col min="13" max="14" width="10.140625" style="14" bestFit="1" customWidth="1"/>
    <col min="15" max="16" width="10.140625" style="9" bestFit="1" customWidth="1"/>
    <col min="17" max="17" width="6.28125" style="9" bestFit="1" customWidth="1"/>
    <col min="18" max="18" width="6.7109375" style="9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34" customWidth="1"/>
    <col min="23" max="16384" width="9.140625" style="2" customWidth="1"/>
  </cols>
  <sheetData>
    <row r="2" spans="4:7" ht="11.25">
      <c r="D2" s="126" t="s">
        <v>102</v>
      </c>
      <c r="G2" s="131"/>
    </row>
    <row r="3" spans="1:10" ht="11.25">
      <c r="A3" s="3" t="s">
        <v>69</v>
      </c>
      <c r="B3" s="16"/>
      <c r="C3" s="129"/>
      <c r="D3" s="127" t="s">
        <v>103</v>
      </c>
      <c r="E3" s="4"/>
      <c r="F3" s="4"/>
      <c r="G3" s="4"/>
      <c r="H3" s="4"/>
      <c r="I3" s="4"/>
      <c r="J3" s="4"/>
    </row>
    <row r="4" spans="13:14" ht="11.25">
      <c r="M4" s="14" t="s">
        <v>105</v>
      </c>
      <c r="N4" s="14" t="s">
        <v>106</v>
      </c>
    </row>
    <row r="5" spans="1:22" ht="22.5">
      <c r="A5" s="5" t="s">
        <v>75</v>
      </c>
      <c r="B5" s="17" t="s">
        <v>70</v>
      </c>
      <c r="C5" s="130" t="s">
        <v>86</v>
      </c>
      <c r="D5" s="116" t="s">
        <v>44</v>
      </c>
      <c r="E5" s="5" t="s">
        <v>85</v>
      </c>
      <c r="F5" s="125" t="s">
        <v>71</v>
      </c>
      <c r="G5" s="125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0" t="s">
        <v>77</v>
      </c>
      <c r="P5" s="11" t="s">
        <v>78</v>
      </c>
      <c r="Q5" s="12" t="s">
        <v>79</v>
      </c>
      <c r="R5" s="13" t="s">
        <v>50</v>
      </c>
      <c r="S5" s="132" t="s">
        <v>94</v>
      </c>
      <c r="T5" s="8" t="s">
        <v>95</v>
      </c>
      <c r="U5" s="8" t="s">
        <v>96</v>
      </c>
      <c r="V5" s="134" t="s">
        <v>97</v>
      </c>
    </row>
    <row r="6" spans="1:25" ht="11.25">
      <c r="A6" s="144" t="s">
        <v>177</v>
      </c>
      <c r="B6" s="14">
        <v>42758</v>
      </c>
      <c r="C6" s="144" t="s">
        <v>178</v>
      </c>
      <c r="D6" s="145">
        <v>96.8</v>
      </c>
      <c r="F6" s="154"/>
      <c r="J6" s="134"/>
      <c r="K6" s="14">
        <v>42769</v>
      </c>
      <c r="M6" s="14">
        <f aca="true" t="shared" si="0" ref="M6:M69">+N6</f>
        <v>42781</v>
      </c>
      <c r="N6" s="14">
        <v>42781</v>
      </c>
      <c r="O6" s="9">
        <f aca="true" t="shared" si="1" ref="O6:O69">+M6-K6</f>
        <v>12</v>
      </c>
      <c r="P6" s="9">
        <f aca="true" t="shared" si="2" ref="P6:P69">+N6-M6</f>
        <v>0</v>
      </c>
      <c r="Q6" s="9">
        <f aca="true" t="shared" si="3" ref="Q6:Q69">+N6-K6</f>
        <v>12</v>
      </c>
      <c r="R6" s="9">
        <f aca="true" t="shared" si="4" ref="R6:R69">+Q6-30</f>
        <v>-18</v>
      </c>
      <c r="S6" s="2">
        <v>22</v>
      </c>
      <c r="T6" s="8">
        <f aca="true" t="shared" si="5" ref="T6:T69">+P6*D6</f>
        <v>0</v>
      </c>
      <c r="U6" s="8">
        <f>+R6*D6</f>
        <v>-1742.3999999999999</v>
      </c>
      <c r="V6" s="134">
        <f>IF(P6&gt;30,200+S6,100+S6)</f>
        <v>122</v>
      </c>
      <c r="Y6" s="8"/>
    </row>
    <row r="7" spans="1:25" ht="11.25">
      <c r="A7" s="144" t="s">
        <v>179</v>
      </c>
      <c r="B7" s="14">
        <v>42755</v>
      </c>
      <c r="C7" s="144" t="s">
        <v>180</v>
      </c>
      <c r="D7" s="145">
        <v>3240</v>
      </c>
      <c r="J7" s="134"/>
      <c r="K7" s="14">
        <v>42769</v>
      </c>
      <c r="M7" s="14">
        <f t="shared" si="0"/>
        <v>42781</v>
      </c>
      <c r="N7" s="14">
        <v>42781</v>
      </c>
      <c r="O7" s="9">
        <f t="shared" si="1"/>
        <v>12</v>
      </c>
      <c r="P7" s="9">
        <f t="shared" si="2"/>
        <v>0</v>
      </c>
      <c r="Q7" s="9">
        <f t="shared" si="3"/>
        <v>12</v>
      </c>
      <c r="R7" s="9">
        <f t="shared" si="4"/>
        <v>-18</v>
      </c>
      <c r="S7" s="2">
        <v>20</v>
      </c>
      <c r="T7" s="8">
        <f t="shared" si="5"/>
        <v>0</v>
      </c>
      <c r="U7" s="8">
        <f aca="true" t="shared" si="6" ref="U7:U70">+R7*D7</f>
        <v>-58320</v>
      </c>
      <c r="V7" s="134">
        <f aca="true" t="shared" si="7" ref="V7:V70">IF(P7&gt;30,200+S7,100+S7)</f>
        <v>120</v>
      </c>
      <c r="Y7" s="8"/>
    </row>
    <row r="8" spans="1:25" ht="11.25">
      <c r="A8" s="144" t="s">
        <v>181</v>
      </c>
      <c r="B8" s="14">
        <v>42755</v>
      </c>
      <c r="C8" s="144" t="s">
        <v>182</v>
      </c>
      <c r="D8" s="145">
        <v>12960</v>
      </c>
      <c r="J8" s="134"/>
      <c r="K8" s="14">
        <v>42769</v>
      </c>
      <c r="M8" s="14">
        <f t="shared" si="0"/>
        <v>42781</v>
      </c>
      <c r="N8" s="14">
        <v>42781</v>
      </c>
      <c r="O8" s="9">
        <f t="shared" si="1"/>
        <v>12</v>
      </c>
      <c r="P8" s="9">
        <f t="shared" si="2"/>
        <v>0</v>
      </c>
      <c r="Q8" s="9">
        <f t="shared" si="3"/>
        <v>12</v>
      </c>
      <c r="R8" s="9">
        <f t="shared" si="4"/>
        <v>-18</v>
      </c>
      <c r="S8" s="2">
        <v>22</v>
      </c>
      <c r="T8" s="8">
        <f t="shared" si="5"/>
        <v>0</v>
      </c>
      <c r="U8" s="8">
        <f t="shared" si="6"/>
        <v>-233280</v>
      </c>
      <c r="V8" s="134">
        <f t="shared" si="7"/>
        <v>122</v>
      </c>
      <c r="Y8" s="8"/>
    </row>
    <row r="9" spans="1:25" ht="11.25">
      <c r="A9" s="144" t="s">
        <v>183</v>
      </c>
      <c r="B9" s="14">
        <v>42755</v>
      </c>
      <c r="C9" s="144" t="s">
        <v>184</v>
      </c>
      <c r="D9" s="145">
        <v>1927.8</v>
      </c>
      <c r="K9" s="14">
        <v>42769</v>
      </c>
      <c r="M9" s="14">
        <f t="shared" si="0"/>
        <v>42781</v>
      </c>
      <c r="N9" s="14">
        <v>42781</v>
      </c>
      <c r="O9" s="9">
        <f t="shared" si="1"/>
        <v>12</v>
      </c>
      <c r="P9" s="9">
        <f t="shared" si="2"/>
        <v>0</v>
      </c>
      <c r="Q9" s="9">
        <f t="shared" si="3"/>
        <v>12</v>
      </c>
      <c r="R9" s="9">
        <f t="shared" si="4"/>
        <v>-18</v>
      </c>
      <c r="S9" s="2">
        <v>20</v>
      </c>
      <c r="T9" s="8">
        <f t="shared" si="5"/>
        <v>0</v>
      </c>
      <c r="U9" s="8">
        <f t="shared" si="6"/>
        <v>-34700.4</v>
      </c>
      <c r="V9" s="134">
        <f t="shared" si="7"/>
        <v>120</v>
      </c>
      <c r="Y9" s="8"/>
    </row>
    <row r="10" spans="1:25" ht="11.25">
      <c r="A10" s="144" t="s">
        <v>185</v>
      </c>
      <c r="B10" s="14">
        <v>42755</v>
      </c>
      <c r="C10" s="144" t="s">
        <v>186</v>
      </c>
      <c r="D10" s="145">
        <v>7711.2</v>
      </c>
      <c r="K10" s="14">
        <v>42769</v>
      </c>
      <c r="M10" s="14">
        <f t="shared" si="0"/>
        <v>42781</v>
      </c>
      <c r="N10" s="14">
        <v>42781</v>
      </c>
      <c r="O10" s="9">
        <f t="shared" si="1"/>
        <v>12</v>
      </c>
      <c r="P10" s="9">
        <f t="shared" si="2"/>
        <v>0</v>
      </c>
      <c r="Q10" s="9">
        <f t="shared" si="3"/>
        <v>12</v>
      </c>
      <c r="R10" s="9">
        <f t="shared" si="4"/>
        <v>-18</v>
      </c>
      <c r="S10" s="2">
        <v>22</v>
      </c>
      <c r="T10" s="8">
        <f t="shared" si="5"/>
        <v>0</v>
      </c>
      <c r="U10" s="8">
        <f t="shared" si="6"/>
        <v>-138801.6</v>
      </c>
      <c r="V10" s="134">
        <f t="shared" si="7"/>
        <v>122</v>
      </c>
      <c r="Y10" s="8"/>
    </row>
    <row r="11" spans="1:25" ht="11.25">
      <c r="A11" s="144" t="s">
        <v>187</v>
      </c>
      <c r="B11" s="14">
        <v>42760</v>
      </c>
      <c r="C11" s="144" t="s">
        <v>188</v>
      </c>
      <c r="D11" s="145">
        <v>69.41</v>
      </c>
      <c r="K11" s="14">
        <v>42769</v>
      </c>
      <c r="M11" s="14">
        <f t="shared" si="0"/>
        <v>42781</v>
      </c>
      <c r="N11" s="14">
        <v>42781</v>
      </c>
      <c r="O11" s="9">
        <f t="shared" si="1"/>
        <v>12</v>
      </c>
      <c r="P11" s="9">
        <f t="shared" si="2"/>
        <v>0</v>
      </c>
      <c r="Q11" s="9">
        <f t="shared" si="3"/>
        <v>12</v>
      </c>
      <c r="R11" s="9">
        <f t="shared" si="4"/>
        <v>-18</v>
      </c>
      <c r="S11" s="2">
        <v>22</v>
      </c>
      <c r="T11" s="8">
        <f t="shared" si="5"/>
        <v>0</v>
      </c>
      <c r="U11" s="8">
        <f t="shared" si="6"/>
        <v>-1249.3799999999999</v>
      </c>
      <c r="V11" s="134">
        <f t="shared" si="7"/>
        <v>122</v>
      </c>
      <c r="Y11" s="8"/>
    </row>
    <row r="12" spans="1:25" ht="11.25">
      <c r="A12" s="144" t="s">
        <v>189</v>
      </c>
      <c r="B12" s="14">
        <v>42766</v>
      </c>
      <c r="C12" s="144" t="s">
        <v>190</v>
      </c>
      <c r="D12" s="145">
        <v>236.2</v>
      </c>
      <c r="E12" s="152"/>
      <c r="F12" s="151"/>
      <c r="G12" s="155"/>
      <c r="H12" s="155"/>
      <c r="K12" s="14">
        <v>42769</v>
      </c>
      <c r="M12" s="14">
        <f t="shared" si="0"/>
        <v>42781</v>
      </c>
      <c r="N12" s="14">
        <v>42781</v>
      </c>
      <c r="O12" s="9">
        <f t="shared" si="1"/>
        <v>12</v>
      </c>
      <c r="P12" s="9">
        <f t="shared" si="2"/>
        <v>0</v>
      </c>
      <c r="Q12" s="9">
        <f t="shared" si="3"/>
        <v>12</v>
      </c>
      <c r="R12" s="9">
        <f t="shared" si="4"/>
        <v>-18</v>
      </c>
      <c r="S12" s="2">
        <v>29</v>
      </c>
      <c r="T12" s="8">
        <f t="shared" si="5"/>
        <v>0</v>
      </c>
      <c r="U12" s="8">
        <f t="shared" si="6"/>
        <v>-4251.599999999999</v>
      </c>
      <c r="V12" s="134">
        <f t="shared" si="7"/>
        <v>129</v>
      </c>
      <c r="Y12" s="8"/>
    </row>
    <row r="13" spans="1:25" ht="11.25">
      <c r="A13" s="144" t="s">
        <v>191</v>
      </c>
      <c r="B13" s="14">
        <v>42768</v>
      </c>
      <c r="C13" s="144" t="s">
        <v>192</v>
      </c>
      <c r="D13" s="145">
        <v>726</v>
      </c>
      <c r="E13" s="152"/>
      <c r="F13" s="151"/>
      <c r="G13" s="151"/>
      <c r="H13" s="151"/>
      <c r="K13" s="14">
        <v>42769</v>
      </c>
      <c r="M13" s="14">
        <f t="shared" si="0"/>
        <v>42781</v>
      </c>
      <c r="N13" s="14">
        <v>42781</v>
      </c>
      <c r="O13" s="9">
        <f t="shared" si="1"/>
        <v>12</v>
      </c>
      <c r="P13" s="9">
        <f t="shared" si="2"/>
        <v>0</v>
      </c>
      <c r="Q13" s="9">
        <f t="shared" si="3"/>
        <v>12</v>
      </c>
      <c r="R13" s="9">
        <f t="shared" si="4"/>
        <v>-18</v>
      </c>
      <c r="S13" s="2">
        <v>29</v>
      </c>
      <c r="T13" s="8">
        <f t="shared" si="5"/>
        <v>0</v>
      </c>
      <c r="U13" s="8">
        <f t="shared" si="6"/>
        <v>-13068</v>
      </c>
      <c r="V13" s="134">
        <f t="shared" si="7"/>
        <v>129</v>
      </c>
      <c r="Y13" s="8"/>
    </row>
    <row r="14" spans="1:25" ht="11.25">
      <c r="A14" s="144" t="s">
        <v>193</v>
      </c>
      <c r="B14" s="14">
        <v>42754</v>
      </c>
      <c r="C14" s="144" t="s">
        <v>194</v>
      </c>
      <c r="D14" s="145">
        <v>354.93</v>
      </c>
      <c r="E14" s="152"/>
      <c r="F14" s="153"/>
      <c r="K14" s="14">
        <v>42769</v>
      </c>
      <c r="M14" s="14">
        <f t="shared" si="0"/>
        <v>42781</v>
      </c>
      <c r="N14" s="14">
        <v>42781</v>
      </c>
      <c r="O14" s="9">
        <f t="shared" si="1"/>
        <v>12</v>
      </c>
      <c r="P14" s="9">
        <f t="shared" si="2"/>
        <v>0</v>
      </c>
      <c r="Q14" s="9">
        <f t="shared" si="3"/>
        <v>12</v>
      </c>
      <c r="R14" s="9">
        <f t="shared" si="4"/>
        <v>-18</v>
      </c>
      <c r="S14" s="2">
        <v>21</v>
      </c>
      <c r="T14" s="8">
        <f t="shared" si="5"/>
        <v>0</v>
      </c>
      <c r="U14" s="8">
        <f t="shared" si="6"/>
        <v>-6388.74</v>
      </c>
      <c r="V14" s="134">
        <f t="shared" si="7"/>
        <v>121</v>
      </c>
      <c r="Y14" s="8"/>
    </row>
    <row r="15" spans="1:25" ht="11.25">
      <c r="A15" s="144" t="s">
        <v>195</v>
      </c>
      <c r="B15" s="14">
        <v>42751</v>
      </c>
      <c r="C15" s="144" t="s">
        <v>196</v>
      </c>
      <c r="D15" s="145">
        <v>955.89</v>
      </c>
      <c r="E15" s="152"/>
      <c r="F15" s="153"/>
      <c r="K15" s="14">
        <v>42766</v>
      </c>
      <c r="M15" s="14">
        <f t="shared" si="0"/>
        <v>42766</v>
      </c>
      <c r="N15" s="14">
        <v>42766</v>
      </c>
      <c r="O15" s="9">
        <f t="shared" si="1"/>
        <v>0</v>
      </c>
      <c r="P15" s="9">
        <f t="shared" si="2"/>
        <v>0</v>
      </c>
      <c r="Q15" s="9">
        <f t="shared" si="3"/>
        <v>0</v>
      </c>
      <c r="R15" s="9">
        <f t="shared" si="4"/>
        <v>-30</v>
      </c>
      <c r="S15" s="2">
        <v>21</v>
      </c>
      <c r="T15" s="8">
        <f t="shared" si="5"/>
        <v>0</v>
      </c>
      <c r="U15" s="8">
        <f t="shared" si="6"/>
        <v>-28676.7</v>
      </c>
      <c r="V15" s="134">
        <f t="shared" si="7"/>
        <v>121</v>
      </c>
      <c r="Y15" s="8"/>
    </row>
    <row r="16" spans="1:25" ht="11.25">
      <c r="A16" s="144" t="s">
        <v>197</v>
      </c>
      <c r="B16" s="14">
        <v>42758</v>
      </c>
      <c r="C16" s="144" t="s">
        <v>198</v>
      </c>
      <c r="D16" s="145">
        <v>3060</v>
      </c>
      <c r="E16" s="152"/>
      <c r="F16" s="153"/>
      <c r="K16" s="14">
        <v>42766</v>
      </c>
      <c r="M16" s="14">
        <f t="shared" si="0"/>
        <v>42766</v>
      </c>
      <c r="N16" s="14">
        <v>42766</v>
      </c>
      <c r="O16" s="9">
        <f t="shared" si="1"/>
        <v>0</v>
      </c>
      <c r="P16" s="9">
        <f t="shared" si="2"/>
        <v>0</v>
      </c>
      <c r="Q16" s="9">
        <f t="shared" si="3"/>
        <v>0</v>
      </c>
      <c r="R16" s="9">
        <f t="shared" si="4"/>
        <v>-30</v>
      </c>
      <c r="S16" s="2">
        <v>29</v>
      </c>
      <c r="T16" s="8">
        <f t="shared" si="5"/>
        <v>0</v>
      </c>
      <c r="U16" s="8">
        <f t="shared" si="6"/>
        <v>-91800</v>
      </c>
      <c r="V16" s="134">
        <f t="shared" si="7"/>
        <v>129</v>
      </c>
      <c r="Y16" s="8"/>
    </row>
    <row r="17" spans="1:25" ht="11.25">
      <c r="A17" s="144" t="s">
        <v>199</v>
      </c>
      <c r="B17" s="14">
        <v>42760</v>
      </c>
      <c r="C17" s="144" t="s">
        <v>200</v>
      </c>
      <c r="D17" s="145">
        <v>86.01</v>
      </c>
      <c r="E17" s="152"/>
      <c r="F17" s="153"/>
      <c r="K17" s="14">
        <v>42766</v>
      </c>
      <c r="M17" s="14">
        <f t="shared" si="0"/>
        <v>42766</v>
      </c>
      <c r="N17" s="14">
        <v>42766</v>
      </c>
      <c r="O17" s="9">
        <f t="shared" si="1"/>
        <v>0</v>
      </c>
      <c r="P17" s="9">
        <f t="shared" si="2"/>
        <v>0</v>
      </c>
      <c r="Q17" s="9">
        <f t="shared" si="3"/>
        <v>0</v>
      </c>
      <c r="R17" s="9">
        <f t="shared" si="4"/>
        <v>-30</v>
      </c>
      <c r="S17" s="2">
        <v>29</v>
      </c>
      <c r="T17" s="8">
        <f t="shared" si="5"/>
        <v>0</v>
      </c>
      <c r="U17" s="8">
        <f t="shared" si="6"/>
        <v>-2580.3</v>
      </c>
      <c r="V17" s="134">
        <f t="shared" si="7"/>
        <v>129</v>
      </c>
      <c r="Y17" s="8"/>
    </row>
    <row r="18" spans="1:25" ht="11.25">
      <c r="A18" s="144" t="s">
        <v>201</v>
      </c>
      <c r="B18" s="14">
        <v>42745</v>
      </c>
      <c r="C18" s="144" t="s">
        <v>202</v>
      </c>
      <c r="D18" s="145">
        <v>28.57</v>
      </c>
      <c r="E18" s="152"/>
      <c r="F18" s="153"/>
      <c r="K18" s="14">
        <v>42766</v>
      </c>
      <c r="M18" s="14">
        <f t="shared" si="0"/>
        <v>42766</v>
      </c>
      <c r="N18" s="14">
        <v>42766</v>
      </c>
      <c r="O18" s="9">
        <f t="shared" si="1"/>
        <v>0</v>
      </c>
      <c r="P18" s="9">
        <f t="shared" si="2"/>
        <v>0</v>
      </c>
      <c r="Q18" s="9">
        <f t="shared" si="3"/>
        <v>0</v>
      </c>
      <c r="R18" s="9">
        <f t="shared" si="4"/>
        <v>-30</v>
      </c>
      <c r="S18" s="2">
        <v>29</v>
      </c>
      <c r="T18" s="8">
        <f t="shared" si="5"/>
        <v>0</v>
      </c>
      <c r="U18" s="8">
        <f t="shared" si="6"/>
        <v>-857.1</v>
      </c>
      <c r="V18" s="134">
        <f t="shared" si="7"/>
        <v>129</v>
      </c>
      <c r="Y18" s="8"/>
    </row>
    <row r="19" spans="1:25" ht="11.25">
      <c r="A19" s="144" t="s">
        <v>203</v>
      </c>
      <c r="B19" s="14">
        <v>42753</v>
      </c>
      <c r="C19" s="144" t="s">
        <v>204</v>
      </c>
      <c r="D19" s="145">
        <v>2268.75</v>
      </c>
      <c r="E19" s="152"/>
      <c r="F19" s="153"/>
      <c r="K19" s="14">
        <v>42765</v>
      </c>
      <c r="M19" s="14">
        <f t="shared" si="0"/>
        <v>42765</v>
      </c>
      <c r="N19" s="14">
        <v>42765</v>
      </c>
      <c r="O19" s="9">
        <f t="shared" si="1"/>
        <v>0</v>
      </c>
      <c r="P19" s="9">
        <f t="shared" si="2"/>
        <v>0</v>
      </c>
      <c r="Q19" s="9">
        <f t="shared" si="3"/>
        <v>0</v>
      </c>
      <c r="R19" s="9">
        <f t="shared" si="4"/>
        <v>-30</v>
      </c>
      <c r="S19" s="2">
        <v>29</v>
      </c>
      <c r="T19" s="8">
        <f t="shared" si="5"/>
        <v>0</v>
      </c>
      <c r="U19" s="8">
        <f t="shared" si="6"/>
        <v>-68062.5</v>
      </c>
      <c r="V19" s="134">
        <f t="shared" si="7"/>
        <v>129</v>
      </c>
      <c r="Y19" s="8"/>
    </row>
    <row r="20" spans="1:25" ht="11.25">
      <c r="A20" s="144" t="s">
        <v>205</v>
      </c>
      <c r="B20" s="14">
        <v>42766</v>
      </c>
      <c r="C20" s="144" t="s">
        <v>206</v>
      </c>
      <c r="D20" s="145">
        <v>2520</v>
      </c>
      <c r="E20" s="152"/>
      <c r="F20" s="153"/>
      <c r="K20" s="14">
        <v>42766</v>
      </c>
      <c r="M20" s="14">
        <f t="shared" si="0"/>
        <v>42766</v>
      </c>
      <c r="N20" s="14">
        <v>42766</v>
      </c>
      <c r="O20" s="9">
        <f t="shared" si="1"/>
        <v>0</v>
      </c>
      <c r="P20" s="9">
        <f t="shared" si="2"/>
        <v>0</v>
      </c>
      <c r="Q20" s="9">
        <f t="shared" si="3"/>
        <v>0</v>
      </c>
      <c r="R20" s="9">
        <f t="shared" si="4"/>
        <v>-30</v>
      </c>
      <c r="S20" s="2">
        <v>29</v>
      </c>
      <c r="T20" s="8">
        <f t="shared" si="5"/>
        <v>0</v>
      </c>
      <c r="U20" s="8">
        <f t="shared" si="6"/>
        <v>-75600</v>
      </c>
      <c r="V20" s="134">
        <f t="shared" si="7"/>
        <v>129</v>
      </c>
      <c r="Y20" s="8"/>
    </row>
    <row r="21" spans="1:25" ht="11.25">
      <c r="A21" s="144" t="s">
        <v>207</v>
      </c>
      <c r="B21" s="14">
        <v>42744</v>
      </c>
      <c r="C21" s="144" t="s">
        <v>208</v>
      </c>
      <c r="D21" s="145">
        <v>69</v>
      </c>
      <c r="E21" s="152"/>
      <c r="F21" s="153"/>
      <c r="K21" s="14">
        <v>42744</v>
      </c>
      <c r="M21" s="14">
        <f t="shared" si="0"/>
        <v>42744</v>
      </c>
      <c r="N21" s="14">
        <v>42744</v>
      </c>
      <c r="O21" s="9">
        <f t="shared" si="1"/>
        <v>0</v>
      </c>
      <c r="P21" s="9">
        <f t="shared" si="2"/>
        <v>0</v>
      </c>
      <c r="Q21" s="9">
        <f t="shared" si="3"/>
        <v>0</v>
      </c>
      <c r="R21" s="9">
        <f t="shared" si="4"/>
        <v>-30</v>
      </c>
      <c r="S21" s="2">
        <v>29</v>
      </c>
      <c r="T21" s="8">
        <f t="shared" si="5"/>
        <v>0</v>
      </c>
      <c r="U21" s="8">
        <f t="shared" si="6"/>
        <v>-2070</v>
      </c>
      <c r="V21" s="134">
        <f t="shared" si="7"/>
        <v>129</v>
      </c>
      <c r="Y21" s="8"/>
    </row>
    <row r="22" spans="1:25" ht="11.25">
      <c r="A22" s="144" t="s">
        <v>209</v>
      </c>
      <c r="B22" s="14">
        <v>42745</v>
      </c>
      <c r="C22" s="144" t="s">
        <v>210</v>
      </c>
      <c r="D22" s="145">
        <v>34.45</v>
      </c>
      <c r="E22" s="152"/>
      <c r="F22" s="153"/>
      <c r="K22" s="14">
        <v>42772</v>
      </c>
      <c r="M22" s="14">
        <f t="shared" si="0"/>
        <v>42775</v>
      </c>
      <c r="N22" s="14">
        <v>42775</v>
      </c>
      <c r="O22" s="9">
        <f t="shared" si="1"/>
        <v>3</v>
      </c>
      <c r="P22" s="9">
        <f t="shared" si="2"/>
        <v>0</v>
      </c>
      <c r="Q22" s="9">
        <f t="shared" si="3"/>
        <v>3</v>
      </c>
      <c r="R22" s="9">
        <f t="shared" si="4"/>
        <v>-27</v>
      </c>
      <c r="S22" s="2">
        <v>22</v>
      </c>
      <c r="T22" s="8">
        <f t="shared" si="5"/>
        <v>0</v>
      </c>
      <c r="U22" s="8">
        <f t="shared" si="6"/>
        <v>-930.1500000000001</v>
      </c>
      <c r="V22" s="134">
        <f t="shared" si="7"/>
        <v>122</v>
      </c>
      <c r="Y22" s="8"/>
    </row>
    <row r="23" spans="1:25" ht="11.25">
      <c r="A23" s="144" t="s">
        <v>211</v>
      </c>
      <c r="B23" s="14">
        <v>42740</v>
      </c>
      <c r="C23" s="144" t="s">
        <v>212</v>
      </c>
      <c r="D23" s="145">
        <v>217.8</v>
      </c>
      <c r="E23" s="152"/>
      <c r="F23" s="153"/>
      <c r="K23" s="14">
        <v>42740</v>
      </c>
      <c r="M23" s="14">
        <f t="shared" si="0"/>
        <v>42740</v>
      </c>
      <c r="N23" s="14">
        <v>42740</v>
      </c>
      <c r="O23" s="9">
        <f t="shared" si="1"/>
        <v>0</v>
      </c>
      <c r="P23" s="9">
        <f t="shared" si="2"/>
        <v>0</v>
      </c>
      <c r="Q23" s="9">
        <f t="shared" si="3"/>
        <v>0</v>
      </c>
      <c r="R23" s="9">
        <f t="shared" si="4"/>
        <v>-30</v>
      </c>
      <c r="S23" s="2">
        <v>20</v>
      </c>
      <c r="T23" s="8">
        <f t="shared" si="5"/>
        <v>0</v>
      </c>
      <c r="U23" s="8">
        <f t="shared" si="6"/>
        <v>-6534</v>
      </c>
      <c r="V23" s="134">
        <f t="shared" si="7"/>
        <v>120</v>
      </c>
      <c r="Y23" s="8"/>
    </row>
    <row r="24" spans="1:25" ht="11.25">
      <c r="A24" s="144" t="s">
        <v>213</v>
      </c>
      <c r="B24" s="14">
        <v>42737</v>
      </c>
      <c r="C24" s="144" t="s">
        <v>214</v>
      </c>
      <c r="D24" s="145">
        <v>182.26</v>
      </c>
      <c r="E24" s="152"/>
      <c r="F24" s="153"/>
      <c r="K24" s="14">
        <v>42765</v>
      </c>
      <c r="M24" s="14">
        <f t="shared" si="0"/>
        <v>42765</v>
      </c>
      <c r="N24" s="14">
        <v>42765</v>
      </c>
      <c r="O24" s="9">
        <f t="shared" si="1"/>
        <v>0</v>
      </c>
      <c r="P24" s="9">
        <f t="shared" si="2"/>
        <v>0</v>
      </c>
      <c r="Q24" s="9">
        <f t="shared" si="3"/>
        <v>0</v>
      </c>
      <c r="R24" s="9">
        <f t="shared" si="4"/>
        <v>-30</v>
      </c>
      <c r="S24" s="2">
        <v>29</v>
      </c>
      <c r="T24" s="8">
        <f t="shared" si="5"/>
        <v>0</v>
      </c>
      <c r="U24" s="8">
        <f t="shared" si="6"/>
        <v>-5467.799999999999</v>
      </c>
      <c r="V24" s="134">
        <f t="shared" si="7"/>
        <v>129</v>
      </c>
      <c r="Y24" s="8"/>
    </row>
    <row r="25" spans="1:25" ht="11.25">
      <c r="A25" s="144" t="s">
        <v>215</v>
      </c>
      <c r="B25" s="14">
        <v>42747</v>
      </c>
      <c r="C25" s="144" t="s">
        <v>216</v>
      </c>
      <c r="D25" s="145">
        <v>75.88</v>
      </c>
      <c r="E25" s="152"/>
      <c r="F25" s="153"/>
      <c r="K25" s="14">
        <v>42755</v>
      </c>
      <c r="M25" s="14">
        <f t="shared" si="0"/>
        <v>42755</v>
      </c>
      <c r="N25" s="14">
        <v>42755</v>
      </c>
      <c r="O25" s="9">
        <f t="shared" si="1"/>
        <v>0</v>
      </c>
      <c r="P25" s="9">
        <f t="shared" si="2"/>
        <v>0</v>
      </c>
      <c r="Q25" s="9">
        <f t="shared" si="3"/>
        <v>0</v>
      </c>
      <c r="R25" s="9">
        <f t="shared" si="4"/>
        <v>-30</v>
      </c>
      <c r="S25" s="2">
        <v>22</v>
      </c>
      <c r="T25" s="8">
        <f t="shared" si="5"/>
        <v>0</v>
      </c>
      <c r="U25" s="8">
        <f t="shared" si="6"/>
        <v>-2276.3999999999996</v>
      </c>
      <c r="V25" s="134">
        <f t="shared" si="7"/>
        <v>122</v>
      </c>
      <c r="Y25" s="8"/>
    </row>
    <row r="26" spans="1:25" ht="11.25">
      <c r="A26" s="144" t="s">
        <v>217</v>
      </c>
      <c r="B26" s="14">
        <v>42736</v>
      </c>
      <c r="C26" s="144" t="s">
        <v>218</v>
      </c>
      <c r="D26" s="145">
        <v>56.86</v>
      </c>
      <c r="E26" s="152"/>
      <c r="F26" s="153"/>
      <c r="K26" s="14">
        <v>42737</v>
      </c>
      <c r="M26" s="14">
        <f t="shared" si="0"/>
        <v>42737</v>
      </c>
      <c r="N26" s="14">
        <v>42737</v>
      </c>
      <c r="O26" s="9">
        <f t="shared" si="1"/>
        <v>0</v>
      </c>
      <c r="P26" s="9">
        <f t="shared" si="2"/>
        <v>0</v>
      </c>
      <c r="Q26" s="9">
        <f t="shared" si="3"/>
        <v>0</v>
      </c>
      <c r="R26" s="9">
        <f t="shared" si="4"/>
        <v>-30</v>
      </c>
      <c r="S26" s="2">
        <v>21</v>
      </c>
      <c r="T26" s="8">
        <f t="shared" si="5"/>
        <v>0</v>
      </c>
      <c r="U26" s="8">
        <f t="shared" si="6"/>
        <v>-1705.8</v>
      </c>
      <c r="V26" s="134">
        <f t="shared" si="7"/>
        <v>121</v>
      </c>
      <c r="Y26" s="8"/>
    </row>
    <row r="27" spans="1:25" ht="11.25">
      <c r="A27" s="144" t="s">
        <v>219</v>
      </c>
      <c r="B27" s="14">
        <v>42751</v>
      </c>
      <c r="C27" s="144" t="s">
        <v>220</v>
      </c>
      <c r="D27" s="145">
        <v>518.9</v>
      </c>
      <c r="E27" s="152"/>
      <c r="F27" s="153"/>
      <c r="K27" s="14">
        <v>42753</v>
      </c>
      <c r="M27" s="14">
        <f t="shared" si="0"/>
        <v>42753</v>
      </c>
      <c r="N27" s="14">
        <v>42753</v>
      </c>
      <c r="O27" s="9">
        <f t="shared" si="1"/>
        <v>0</v>
      </c>
      <c r="P27" s="9">
        <f t="shared" si="2"/>
        <v>0</v>
      </c>
      <c r="Q27" s="9">
        <f t="shared" si="3"/>
        <v>0</v>
      </c>
      <c r="R27" s="9">
        <f t="shared" si="4"/>
        <v>-30</v>
      </c>
      <c r="S27" s="2">
        <v>22</v>
      </c>
      <c r="T27" s="8">
        <f t="shared" si="5"/>
        <v>0</v>
      </c>
      <c r="U27" s="8">
        <f t="shared" si="6"/>
        <v>-15567</v>
      </c>
      <c r="V27" s="134">
        <f t="shared" si="7"/>
        <v>122</v>
      </c>
      <c r="Y27" s="8"/>
    </row>
    <row r="28" spans="1:25" ht="11.25">
      <c r="A28" s="144" t="s">
        <v>221</v>
      </c>
      <c r="B28" s="14">
        <v>42751</v>
      </c>
      <c r="C28" s="144" t="s">
        <v>222</v>
      </c>
      <c r="D28" s="145">
        <v>723.85</v>
      </c>
      <c r="E28" s="152"/>
      <c r="F28" s="153"/>
      <c r="K28" s="14">
        <v>42753</v>
      </c>
      <c r="M28" s="14">
        <f t="shared" si="0"/>
        <v>42753</v>
      </c>
      <c r="N28" s="14">
        <v>42753</v>
      </c>
      <c r="O28" s="9">
        <f t="shared" si="1"/>
        <v>0</v>
      </c>
      <c r="P28" s="9">
        <f t="shared" si="2"/>
        <v>0</v>
      </c>
      <c r="Q28" s="9">
        <f t="shared" si="3"/>
        <v>0</v>
      </c>
      <c r="R28" s="9">
        <f t="shared" si="4"/>
        <v>-30</v>
      </c>
      <c r="S28" s="2">
        <v>22</v>
      </c>
      <c r="T28" s="8">
        <f t="shared" si="5"/>
        <v>0</v>
      </c>
      <c r="U28" s="8">
        <f t="shared" si="6"/>
        <v>-21715.5</v>
      </c>
      <c r="V28" s="134">
        <f t="shared" si="7"/>
        <v>122</v>
      </c>
      <c r="Y28" s="8"/>
    </row>
    <row r="29" spans="1:25" s="134" customFormat="1" ht="11.25">
      <c r="A29" s="144" t="s">
        <v>223</v>
      </c>
      <c r="B29" s="14">
        <v>42751</v>
      </c>
      <c r="C29" s="144" t="s">
        <v>224</v>
      </c>
      <c r="D29" s="145">
        <v>410.17</v>
      </c>
      <c r="E29" s="152"/>
      <c r="F29" s="156"/>
      <c r="K29" s="14">
        <v>42753</v>
      </c>
      <c r="L29" s="14"/>
      <c r="M29" s="14">
        <f t="shared" si="0"/>
        <v>42753</v>
      </c>
      <c r="N29" s="14">
        <v>42753</v>
      </c>
      <c r="O29" s="9">
        <f t="shared" si="1"/>
        <v>0</v>
      </c>
      <c r="P29" s="9">
        <f t="shared" si="2"/>
        <v>0</v>
      </c>
      <c r="Q29" s="9">
        <f t="shared" si="3"/>
        <v>0</v>
      </c>
      <c r="R29" s="9">
        <f t="shared" si="4"/>
        <v>-30</v>
      </c>
      <c r="S29" s="134">
        <v>22</v>
      </c>
      <c r="T29" s="8">
        <f t="shared" si="5"/>
        <v>0</v>
      </c>
      <c r="U29" s="8">
        <f t="shared" si="6"/>
        <v>-12305.1</v>
      </c>
      <c r="V29" s="134">
        <f t="shared" si="7"/>
        <v>122</v>
      </c>
      <c r="Y29" s="8"/>
    </row>
    <row r="30" spans="1:25" ht="11.25">
      <c r="A30" s="144" t="s">
        <v>225</v>
      </c>
      <c r="B30" s="14">
        <v>42751</v>
      </c>
      <c r="C30" s="144" t="s">
        <v>226</v>
      </c>
      <c r="D30" s="145">
        <v>453.4</v>
      </c>
      <c r="E30" s="152"/>
      <c r="F30" s="153"/>
      <c r="K30" s="14">
        <v>42753</v>
      </c>
      <c r="M30" s="14">
        <f t="shared" si="0"/>
        <v>42753</v>
      </c>
      <c r="N30" s="14">
        <v>42753</v>
      </c>
      <c r="O30" s="9">
        <f t="shared" si="1"/>
        <v>0</v>
      </c>
      <c r="P30" s="9">
        <f t="shared" si="2"/>
        <v>0</v>
      </c>
      <c r="Q30" s="9">
        <f t="shared" si="3"/>
        <v>0</v>
      </c>
      <c r="R30" s="9">
        <f t="shared" si="4"/>
        <v>-30</v>
      </c>
      <c r="S30" s="134">
        <v>22</v>
      </c>
      <c r="T30" s="8">
        <f t="shared" si="5"/>
        <v>0</v>
      </c>
      <c r="U30" s="8">
        <f t="shared" si="6"/>
        <v>-13602</v>
      </c>
      <c r="V30" s="134">
        <f t="shared" si="7"/>
        <v>122</v>
      </c>
      <c r="Y30" s="8"/>
    </row>
    <row r="31" spans="1:25" ht="11.25">
      <c r="A31" s="144" t="s">
        <v>227</v>
      </c>
      <c r="B31" s="14">
        <v>42752</v>
      </c>
      <c r="C31" s="144" t="s">
        <v>228</v>
      </c>
      <c r="D31" s="145">
        <v>20.13</v>
      </c>
      <c r="E31" s="152"/>
      <c r="F31" s="153"/>
      <c r="K31" s="14">
        <v>42760</v>
      </c>
      <c r="M31" s="14">
        <f t="shared" si="0"/>
        <v>42760</v>
      </c>
      <c r="N31" s="14">
        <v>42760</v>
      </c>
      <c r="O31" s="9">
        <f t="shared" si="1"/>
        <v>0</v>
      </c>
      <c r="P31" s="9">
        <f t="shared" si="2"/>
        <v>0</v>
      </c>
      <c r="Q31" s="9">
        <f t="shared" si="3"/>
        <v>0</v>
      </c>
      <c r="R31" s="9">
        <f t="shared" si="4"/>
        <v>-30</v>
      </c>
      <c r="S31" s="134">
        <v>22</v>
      </c>
      <c r="T31" s="8">
        <f t="shared" si="5"/>
        <v>0</v>
      </c>
      <c r="U31" s="8">
        <f t="shared" si="6"/>
        <v>-603.9</v>
      </c>
      <c r="V31" s="134">
        <f t="shared" si="7"/>
        <v>122</v>
      </c>
      <c r="Y31" s="8"/>
    </row>
    <row r="32" spans="1:25" ht="11.25">
      <c r="A32" s="144" t="s">
        <v>229</v>
      </c>
      <c r="B32" s="14">
        <v>42752</v>
      </c>
      <c r="C32" s="144" t="s">
        <v>230</v>
      </c>
      <c r="D32" s="145">
        <v>18.44</v>
      </c>
      <c r="E32" s="152"/>
      <c r="F32" s="153"/>
      <c r="K32" s="14">
        <v>42760</v>
      </c>
      <c r="M32" s="14">
        <f t="shared" si="0"/>
        <v>42760</v>
      </c>
      <c r="N32" s="14">
        <v>42760</v>
      </c>
      <c r="O32" s="9">
        <f t="shared" si="1"/>
        <v>0</v>
      </c>
      <c r="P32" s="9">
        <f t="shared" si="2"/>
        <v>0</v>
      </c>
      <c r="Q32" s="9">
        <f t="shared" si="3"/>
        <v>0</v>
      </c>
      <c r="R32" s="9">
        <f t="shared" si="4"/>
        <v>-30</v>
      </c>
      <c r="S32" s="134">
        <v>22</v>
      </c>
      <c r="T32" s="8">
        <f t="shared" si="5"/>
        <v>0</v>
      </c>
      <c r="U32" s="8">
        <f t="shared" si="6"/>
        <v>-553.2</v>
      </c>
      <c r="V32" s="134">
        <f t="shared" si="7"/>
        <v>122</v>
      </c>
      <c r="Y32" s="8"/>
    </row>
    <row r="33" spans="1:25" ht="11.25">
      <c r="A33" s="144" t="s">
        <v>231</v>
      </c>
      <c r="B33" s="14">
        <v>42752</v>
      </c>
      <c r="C33" s="144" t="s">
        <v>232</v>
      </c>
      <c r="D33" s="145">
        <v>39.12</v>
      </c>
      <c r="E33" s="152"/>
      <c r="F33" s="153"/>
      <c r="K33" s="14">
        <v>42760</v>
      </c>
      <c r="M33" s="14">
        <f t="shared" si="0"/>
        <v>42760</v>
      </c>
      <c r="N33" s="14">
        <v>42760</v>
      </c>
      <c r="O33" s="9">
        <f t="shared" si="1"/>
        <v>0</v>
      </c>
      <c r="P33" s="9">
        <f t="shared" si="2"/>
        <v>0</v>
      </c>
      <c r="Q33" s="9">
        <f t="shared" si="3"/>
        <v>0</v>
      </c>
      <c r="R33" s="9">
        <f t="shared" si="4"/>
        <v>-30</v>
      </c>
      <c r="S33" s="134">
        <v>22</v>
      </c>
      <c r="T33" s="8">
        <f t="shared" si="5"/>
        <v>0</v>
      </c>
      <c r="U33" s="8">
        <f t="shared" si="6"/>
        <v>-1173.6</v>
      </c>
      <c r="V33" s="134">
        <f t="shared" si="7"/>
        <v>122</v>
      </c>
      <c r="Y33" s="8"/>
    </row>
    <row r="34" spans="1:25" ht="11.25">
      <c r="A34" s="144" t="s">
        <v>233</v>
      </c>
      <c r="B34" s="14">
        <v>42752</v>
      </c>
      <c r="C34" s="144" t="s">
        <v>234</v>
      </c>
      <c r="D34" s="145">
        <v>31.5</v>
      </c>
      <c r="E34" s="152"/>
      <c r="F34" s="153"/>
      <c r="K34" s="14">
        <v>42760</v>
      </c>
      <c r="M34" s="14">
        <f t="shared" si="0"/>
        <v>42760</v>
      </c>
      <c r="N34" s="14">
        <v>42760</v>
      </c>
      <c r="O34" s="9">
        <f t="shared" si="1"/>
        <v>0</v>
      </c>
      <c r="P34" s="9">
        <f t="shared" si="2"/>
        <v>0</v>
      </c>
      <c r="Q34" s="9">
        <f t="shared" si="3"/>
        <v>0</v>
      </c>
      <c r="R34" s="9">
        <f t="shared" si="4"/>
        <v>-30</v>
      </c>
      <c r="S34" s="134">
        <v>22</v>
      </c>
      <c r="T34" s="8">
        <f t="shared" si="5"/>
        <v>0</v>
      </c>
      <c r="U34" s="8">
        <f t="shared" si="6"/>
        <v>-945</v>
      </c>
      <c r="V34" s="134">
        <f t="shared" si="7"/>
        <v>122</v>
      </c>
      <c r="Y34" s="8"/>
    </row>
    <row r="35" spans="1:25" ht="11.25">
      <c r="A35" s="144" t="s">
        <v>235</v>
      </c>
      <c r="B35" s="14">
        <v>42752</v>
      </c>
      <c r="C35" s="144" t="s">
        <v>236</v>
      </c>
      <c r="D35" s="145">
        <v>36.54</v>
      </c>
      <c r="E35" s="152"/>
      <c r="F35" s="153"/>
      <c r="K35" s="14">
        <v>42760</v>
      </c>
      <c r="M35" s="14">
        <f t="shared" si="0"/>
        <v>42760</v>
      </c>
      <c r="N35" s="14">
        <v>42760</v>
      </c>
      <c r="O35" s="9">
        <f t="shared" si="1"/>
        <v>0</v>
      </c>
      <c r="P35" s="9">
        <f t="shared" si="2"/>
        <v>0</v>
      </c>
      <c r="Q35" s="9">
        <f t="shared" si="3"/>
        <v>0</v>
      </c>
      <c r="R35" s="9">
        <f t="shared" si="4"/>
        <v>-30</v>
      </c>
      <c r="S35" s="134">
        <v>22</v>
      </c>
      <c r="T35" s="8">
        <f t="shared" si="5"/>
        <v>0</v>
      </c>
      <c r="U35" s="8">
        <f t="shared" si="6"/>
        <v>-1096.2</v>
      </c>
      <c r="V35" s="134">
        <f t="shared" si="7"/>
        <v>122</v>
      </c>
      <c r="Y35" s="8"/>
    </row>
    <row r="36" spans="1:25" ht="11.25">
      <c r="A36" s="144" t="s">
        <v>237</v>
      </c>
      <c r="B36" s="14">
        <v>42752</v>
      </c>
      <c r="C36" s="144" t="s">
        <v>238</v>
      </c>
      <c r="D36" s="145">
        <v>50</v>
      </c>
      <c r="E36" s="152"/>
      <c r="F36" s="153"/>
      <c r="K36" s="14">
        <v>42751</v>
      </c>
      <c r="M36" s="14">
        <f t="shared" si="0"/>
        <v>42751</v>
      </c>
      <c r="N36" s="14">
        <v>42751</v>
      </c>
      <c r="O36" s="9">
        <f t="shared" si="1"/>
        <v>0</v>
      </c>
      <c r="P36" s="9">
        <f t="shared" si="2"/>
        <v>0</v>
      </c>
      <c r="Q36" s="9">
        <f t="shared" si="3"/>
        <v>0</v>
      </c>
      <c r="R36" s="9">
        <f t="shared" si="4"/>
        <v>-30</v>
      </c>
      <c r="S36" s="134">
        <v>29</v>
      </c>
      <c r="T36" s="8">
        <f t="shared" si="5"/>
        <v>0</v>
      </c>
      <c r="U36" s="8">
        <f t="shared" si="6"/>
        <v>-1500</v>
      </c>
      <c r="V36" s="134">
        <f t="shared" si="7"/>
        <v>129</v>
      </c>
      <c r="Y36" s="8"/>
    </row>
    <row r="37" spans="1:25" ht="11.25">
      <c r="A37" s="144" t="s">
        <v>239</v>
      </c>
      <c r="B37" s="14">
        <v>42762</v>
      </c>
      <c r="C37" s="144" t="s">
        <v>240</v>
      </c>
      <c r="D37" s="145">
        <v>247.31</v>
      </c>
      <c r="E37" s="152"/>
      <c r="F37" s="153"/>
      <c r="K37" s="14">
        <v>42772</v>
      </c>
      <c r="M37" s="14">
        <f t="shared" si="0"/>
        <v>42772</v>
      </c>
      <c r="N37" s="14">
        <v>42772</v>
      </c>
      <c r="O37" s="9">
        <f t="shared" si="1"/>
        <v>0</v>
      </c>
      <c r="P37" s="9">
        <f t="shared" si="2"/>
        <v>0</v>
      </c>
      <c r="Q37" s="9">
        <f t="shared" si="3"/>
        <v>0</v>
      </c>
      <c r="R37" s="9">
        <f t="shared" si="4"/>
        <v>-30</v>
      </c>
      <c r="S37" s="134">
        <v>22</v>
      </c>
      <c r="T37" s="8">
        <f t="shared" si="5"/>
        <v>0</v>
      </c>
      <c r="U37" s="8">
        <f t="shared" si="6"/>
        <v>-7419.3</v>
      </c>
      <c r="V37" s="134">
        <f t="shared" si="7"/>
        <v>122</v>
      </c>
      <c r="Y37" s="8"/>
    </row>
    <row r="38" spans="1:25" ht="11.25">
      <c r="A38" s="144" t="s">
        <v>241</v>
      </c>
      <c r="B38" s="14">
        <v>42766</v>
      </c>
      <c r="C38" s="144" t="s">
        <v>242</v>
      </c>
      <c r="D38" s="145">
        <v>408.89</v>
      </c>
      <c r="E38" s="152"/>
      <c r="F38" s="153"/>
      <c r="K38" s="14">
        <v>42742</v>
      </c>
      <c r="M38" s="14">
        <f t="shared" si="0"/>
        <v>42742</v>
      </c>
      <c r="N38" s="14">
        <v>42742</v>
      </c>
      <c r="O38" s="9">
        <f t="shared" si="1"/>
        <v>0</v>
      </c>
      <c r="P38" s="9">
        <f t="shared" si="2"/>
        <v>0</v>
      </c>
      <c r="Q38" s="9">
        <f t="shared" si="3"/>
        <v>0</v>
      </c>
      <c r="R38" s="9">
        <f t="shared" si="4"/>
        <v>-30</v>
      </c>
      <c r="S38" s="134">
        <v>29</v>
      </c>
      <c r="T38" s="8">
        <f t="shared" si="5"/>
        <v>0</v>
      </c>
      <c r="U38" s="8">
        <f t="shared" si="6"/>
        <v>-12266.699999999999</v>
      </c>
      <c r="V38" s="134">
        <f t="shared" si="7"/>
        <v>129</v>
      </c>
      <c r="Y38" s="8"/>
    </row>
    <row r="39" spans="1:25" ht="11.25">
      <c r="A39" s="144" t="s">
        <v>243</v>
      </c>
      <c r="B39" s="14">
        <v>42781</v>
      </c>
      <c r="C39" s="144" t="s">
        <v>244</v>
      </c>
      <c r="D39" s="145">
        <v>2880</v>
      </c>
      <c r="E39" s="152"/>
      <c r="F39" s="153"/>
      <c r="K39" s="14">
        <v>42779</v>
      </c>
      <c r="M39" s="14">
        <f t="shared" si="0"/>
        <v>42781</v>
      </c>
      <c r="N39" s="14">
        <v>42781</v>
      </c>
      <c r="O39" s="9">
        <f t="shared" si="1"/>
        <v>2</v>
      </c>
      <c r="P39" s="9">
        <f t="shared" si="2"/>
        <v>0</v>
      </c>
      <c r="Q39" s="9">
        <f t="shared" si="3"/>
        <v>2</v>
      </c>
      <c r="R39" s="9">
        <f t="shared" si="4"/>
        <v>-28</v>
      </c>
      <c r="S39" s="134">
        <v>29</v>
      </c>
      <c r="T39" s="8">
        <f t="shared" si="5"/>
        <v>0</v>
      </c>
      <c r="U39" s="8">
        <f t="shared" si="6"/>
        <v>-80640</v>
      </c>
      <c r="V39" s="134">
        <f t="shared" si="7"/>
        <v>129</v>
      </c>
      <c r="Y39" s="8"/>
    </row>
    <row r="40" spans="1:25" ht="11.25">
      <c r="A40" s="144" t="s">
        <v>245</v>
      </c>
      <c r="B40" s="14">
        <v>42759</v>
      </c>
      <c r="C40" s="144" t="s">
        <v>246</v>
      </c>
      <c r="D40" s="145">
        <v>30.25</v>
      </c>
      <c r="E40" s="152"/>
      <c r="F40" s="153"/>
      <c r="K40" s="14">
        <v>42779</v>
      </c>
      <c r="M40" s="14">
        <f t="shared" si="0"/>
        <v>42781</v>
      </c>
      <c r="N40" s="14">
        <v>42781</v>
      </c>
      <c r="O40" s="9">
        <f t="shared" si="1"/>
        <v>2</v>
      </c>
      <c r="P40" s="9">
        <f t="shared" si="2"/>
        <v>0</v>
      </c>
      <c r="Q40" s="9">
        <f t="shared" si="3"/>
        <v>2</v>
      </c>
      <c r="R40" s="9">
        <f t="shared" si="4"/>
        <v>-28</v>
      </c>
      <c r="S40" s="134">
        <v>29</v>
      </c>
      <c r="T40" s="8">
        <f t="shared" si="5"/>
        <v>0</v>
      </c>
      <c r="U40" s="8">
        <f t="shared" si="6"/>
        <v>-847</v>
      </c>
      <c r="V40" s="134">
        <f t="shared" si="7"/>
        <v>129</v>
      </c>
      <c r="Y40" s="8"/>
    </row>
    <row r="41" spans="1:25" ht="11.25">
      <c r="A41" s="144" t="s">
        <v>247</v>
      </c>
      <c r="B41" s="14">
        <v>42736</v>
      </c>
      <c r="C41" s="144" t="s">
        <v>248</v>
      </c>
      <c r="D41" s="145">
        <v>798.6</v>
      </c>
      <c r="E41" s="152"/>
      <c r="F41" s="153"/>
      <c r="K41" s="14">
        <v>42766</v>
      </c>
      <c r="M41" s="14">
        <f t="shared" si="0"/>
        <v>42766</v>
      </c>
      <c r="N41" s="14">
        <v>42766</v>
      </c>
      <c r="O41" s="9">
        <f t="shared" si="1"/>
        <v>0</v>
      </c>
      <c r="P41" s="9">
        <f t="shared" si="2"/>
        <v>0</v>
      </c>
      <c r="Q41" s="9">
        <f t="shared" si="3"/>
        <v>0</v>
      </c>
      <c r="R41" s="9">
        <f t="shared" si="4"/>
        <v>-30</v>
      </c>
      <c r="S41" s="134">
        <v>21</v>
      </c>
      <c r="T41" s="8">
        <f t="shared" si="5"/>
        <v>0</v>
      </c>
      <c r="U41" s="8">
        <f t="shared" si="6"/>
        <v>-23958</v>
      </c>
      <c r="V41" s="134">
        <f t="shared" si="7"/>
        <v>121</v>
      </c>
      <c r="Y41" s="8"/>
    </row>
    <row r="42" spans="1:25" ht="11.25">
      <c r="A42" s="144" t="s">
        <v>249</v>
      </c>
      <c r="B42" s="14">
        <v>42747</v>
      </c>
      <c r="C42" s="144" t="s">
        <v>250</v>
      </c>
      <c r="D42" s="145">
        <v>81.67</v>
      </c>
      <c r="E42" s="152"/>
      <c r="F42" s="153"/>
      <c r="K42" s="14">
        <v>42780</v>
      </c>
      <c r="M42" s="14">
        <f t="shared" si="0"/>
        <v>42781</v>
      </c>
      <c r="N42" s="14">
        <v>42781</v>
      </c>
      <c r="O42" s="9">
        <f t="shared" si="1"/>
        <v>1</v>
      </c>
      <c r="P42" s="9">
        <f t="shared" si="2"/>
        <v>0</v>
      </c>
      <c r="Q42" s="9">
        <f t="shared" si="3"/>
        <v>1</v>
      </c>
      <c r="R42" s="9">
        <f t="shared" si="4"/>
        <v>-29</v>
      </c>
      <c r="S42" s="134">
        <v>29</v>
      </c>
      <c r="T42" s="8">
        <f t="shared" si="5"/>
        <v>0</v>
      </c>
      <c r="U42" s="8">
        <f t="shared" si="6"/>
        <v>-2368.43</v>
      </c>
      <c r="V42" s="134">
        <f t="shared" si="7"/>
        <v>129</v>
      </c>
      <c r="Y42" s="8"/>
    </row>
    <row r="43" spans="1:25" ht="11.25">
      <c r="A43" s="144" t="s">
        <v>251</v>
      </c>
      <c r="B43" s="14">
        <v>42748</v>
      </c>
      <c r="C43" s="144" t="s">
        <v>252</v>
      </c>
      <c r="D43" s="145">
        <v>3244.64</v>
      </c>
      <c r="E43" s="152"/>
      <c r="F43" s="153"/>
      <c r="K43" s="14">
        <v>42781</v>
      </c>
      <c r="M43" s="14">
        <f t="shared" si="0"/>
        <v>42781</v>
      </c>
      <c r="N43" s="14">
        <v>42781</v>
      </c>
      <c r="O43" s="9">
        <f t="shared" si="1"/>
        <v>0</v>
      </c>
      <c r="P43" s="9">
        <f t="shared" si="2"/>
        <v>0</v>
      </c>
      <c r="Q43" s="9">
        <f t="shared" si="3"/>
        <v>0</v>
      </c>
      <c r="R43" s="9">
        <f t="shared" si="4"/>
        <v>-30</v>
      </c>
      <c r="S43" s="134">
        <v>29</v>
      </c>
      <c r="T43" s="8">
        <f t="shared" si="5"/>
        <v>0</v>
      </c>
      <c r="U43" s="8">
        <f t="shared" si="6"/>
        <v>-97339.2</v>
      </c>
      <c r="V43" s="134">
        <f t="shared" si="7"/>
        <v>129</v>
      </c>
      <c r="Y43" s="8"/>
    </row>
    <row r="44" spans="1:25" ht="11.25">
      <c r="A44" s="144" t="s">
        <v>253</v>
      </c>
      <c r="B44" s="14">
        <v>42772</v>
      </c>
      <c r="C44" s="144" t="s">
        <v>254</v>
      </c>
      <c r="D44" s="145">
        <v>254.09</v>
      </c>
      <c r="E44" s="153"/>
      <c r="J44" s="14"/>
      <c r="K44" s="14">
        <v>42786</v>
      </c>
      <c r="M44" s="14">
        <f t="shared" si="0"/>
        <v>42790</v>
      </c>
      <c r="N44" s="14">
        <v>42790</v>
      </c>
      <c r="O44" s="9">
        <f t="shared" si="1"/>
        <v>4</v>
      </c>
      <c r="P44" s="9">
        <f t="shared" si="2"/>
        <v>0</v>
      </c>
      <c r="Q44" s="9">
        <f t="shared" si="3"/>
        <v>4</v>
      </c>
      <c r="R44" s="9">
        <f t="shared" si="4"/>
        <v>-26</v>
      </c>
      <c r="S44" s="134">
        <v>29</v>
      </c>
      <c r="T44" s="8">
        <f t="shared" si="5"/>
        <v>0</v>
      </c>
      <c r="U44" s="8">
        <f t="shared" si="6"/>
        <v>-6606.34</v>
      </c>
      <c r="V44" s="134">
        <f t="shared" si="7"/>
        <v>129</v>
      </c>
      <c r="Y44" s="8"/>
    </row>
    <row r="45" spans="1:25" ht="11.25">
      <c r="A45" s="144" t="s">
        <v>255</v>
      </c>
      <c r="B45" s="14">
        <v>42766</v>
      </c>
      <c r="C45" s="144" t="s">
        <v>256</v>
      </c>
      <c r="D45" s="145">
        <v>30</v>
      </c>
      <c r="E45" s="153"/>
      <c r="J45" s="14"/>
      <c r="K45" s="14">
        <v>42786</v>
      </c>
      <c r="M45" s="14">
        <f t="shared" si="0"/>
        <v>42794</v>
      </c>
      <c r="N45" s="14">
        <v>42794</v>
      </c>
      <c r="O45" s="9">
        <f t="shared" si="1"/>
        <v>8</v>
      </c>
      <c r="P45" s="9">
        <f t="shared" si="2"/>
        <v>0</v>
      </c>
      <c r="Q45" s="9">
        <f t="shared" si="3"/>
        <v>8</v>
      </c>
      <c r="R45" s="9">
        <f t="shared" si="4"/>
        <v>-22</v>
      </c>
      <c r="S45" s="134">
        <v>29</v>
      </c>
      <c r="T45" s="8">
        <f t="shared" si="5"/>
        <v>0</v>
      </c>
      <c r="U45" s="8">
        <f>+R45*D45</f>
        <v>-660</v>
      </c>
      <c r="V45" s="134">
        <f t="shared" si="7"/>
        <v>129</v>
      </c>
      <c r="Y45" s="8"/>
    </row>
    <row r="46" spans="1:25" ht="11.25">
      <c r="A46" s="144" t="s">
        <v>257</v>
      </c>
      <c r="B46" s="14">
        <v>42774</v>
      </c>
      <c r="C46" s="144" t="s">
        <v>258</v>
      </c>
      <c r="D46" s="145">
        <v>30.8</v>
      </c>
      <c r="E46" s="152"/>
      <c r="F46" s="153"/>
      <c r="K46" s="14">
        <v>42786</v>
      </c>
      <c r="M46" s="14">
        <f t="shared" si="0"/>
        <v>42794</v>
      </c>
      <c r="N46" s="14">
        <v>42794</v>
      </c>
      <c r="O46" s="9">
        <f t="shared" si="1"/>
        <v>8</v>
      </c>
      <c r="P46" s="9">
        <f t="shared" si="2"/>
        <v>0</v>
      </c>
      <c r="Q46" s="9">
        <f t="shared" si="3"/>
        <v>8</v>
      </c>
      <c r="R46" s="9">
        <f t="shared" si="4"/>
        <v>-22</v>
      </c>
      <c r="S46" s="134">
        <v>29</v>
      </c>
      <c r="T46" s="8">
        <f t="shared" si="5"/>
        <v>0</v>
      </c>
      <c r="U46" s="8">
        <f t="shared" si="6"/>
        <v>-677.6</v>
      </c>
      <c r="V46" s="134">
        <f t="shared" si="7"/>
        <v>129</v>
      </c>
      <c r="Y46" s="8"/>
    </row>
    <row r="47" spans="1:25" ht="11.25">
      <c r="A47" s="144" t="s">
        <v>259</v>
      </c>
      <c r="B47" s="14">
        <v>42766</v>
      </c>
      <c r="C47" s="144" t="s">
        <v>260</v>
      </c>
      <c r="D47" s="145">
        <v>1668.35</v>
      </c>
      <c r="E47" s="152"/>
      <c r="F47" s="153"/>
      <c r="K47" s="14">
        <v>42766</v>
      </c>
      <c r="M47" s="14">
        <f t="shared" si="0"/>
        <v>42766</v>
      </c>
      <c r="N47" s="14">
        <v>42766</v>
      </c>
      <c r="O47" s="9">
        <f t="shared" si="1"/>
        <v>0</v>
      </c>
      <c r="P47" s="9">
        <f t="shared" si="2"/>
        <v>0</v>
      </c>
      <c r="Q47" s="9">
        <f t="shared" si="3"/>
        <v>0</v>
      </c>
      <c r="R47" s="9">
        <f t="shared" si="4"/>
        <v>-30</v>
      </c>
      <c r="S47" s="134">
        <v>29</v>
      </c>
      <c r="T47" s="8">
        <f t="shared" si="5"/>
        <v>0</v>
      </c>
      <c r="U47" s="8">
        <f t="shared" si="6"/>
        <v>-50050.5</v>
      </c>
      <c r="V47" s="134">
        <f t="shared" si="7"/>
        <v>129</v>
      </c>
      <c r="Y47" s="8"/>
    </row>
    <row r="48" spans="1:25" ht="11.25">
      <c r="A48" s="144" t="s">
        <v>261</v>
      </c>
      <c r="B48" s="14">
        <v>42766</v>
      </c>
      <c r="C48" s="144" t="s">
        <v>262</v>
      </c>
      <c r="D48" s="145">
        <v>77</v>
      </c>
      <c r="E48" s="152"/>
      <c r="F48" s="153"/>
      <c r="K48" s="14">
        <v>42772</v>
      </c>
      <c r="M48" s="14">
        <f t="shared" si="0"/>
        <v>42772</v>
      </c>
      <c r="N48" s="14">
        <v>42772</v>
      </c>
      <c r="O48" s="9">
        <f t="shared" si="1"/>
        <v>0</v>
      </c>
      <c r="P48" s="9">
        <f t="shared" si="2"/>
        <v>0</v>
      </c>
      <c r="Q48" s="9">
        <f t="shared" si="3"/>
        <v>0</v>
      </c>
      <c r="R48" s="9">
        <f t="shared" si="4"/>
        <v>-30</v>
      </c>
      <c r="S48" s="134">
        <v>29</v>
      </c>
      <c r="T48" s="8">
        <f t="shared" si="5"/>
        <v>0</v>
      </c>
      <c r="U48" s="8">
        <f t="shared" si="6"/>
        <v>-2310</v>
      </c>
      <c r="V48" s="134">
        <f t="shared" si="7"/>
        <v>129</v>
      </c>
      <c r="Y48" s="8"/>
    </row>
    <row r="49" spans="1:25" ht="11.25">
      <c r="A49" s="144" t="s">
        <v>263</v>
      </c>
      <c r="B49" s="14">
        <v>42766</v>
      </c>
      <c r="C49" s="144" t="s">
        <v>264</v>
      </c>
      <c r="D49" s="145">
        <v>182.99</v>
      </c>
      <c r="E49" s="152"/>
      <c r="F49" s="153"/>
      <c r="K49" s="14">
        <v>42772</v>
      </c>
      <c r="M49" s="14">
        <f t="shared" si="0"/>
        <v>42772</v>
      </c>
      <c r="N49" s="14">
        <v>42772</v>
      </c>
      <c r="O49" s="9">
        <f t="shared" si="1"/>
        <v>0</v>
      </c>
      <c r="P49" s="9">
        <f t="shared" si="2"/>
        <v>0</v>
      </c>
      <c r="Q49" s="9">
        <f t="shared" si="3"/>
        <v>0</v>
      </c>
      <c r="R49" s="9">
        <f t="shared" si="4"/>
        <v>-30</v>
      </c>
      <c r="S49" s="134">
        <v>29</v>
      </c>
      <c r="T49" s="8">
        <f t="shared" si="5"/>
        <v>0</v>
      </c>
      <c r="U49" s="8">
        <f t="shared" si="6"/>
        <v>-5489.700000000001</v>
      </c>
      <c r="V49" s="134">
        <f t="shared" si="7"/>
        <v>129</v>
      </c>
      <c r="Y49" s="8"/>
    </row>
    <row r="50" spans="1:25" ht="11.25">
      <c r="A50" s="144" t="s">
        <v>265</v>
      </c>
      <c r="B50" s="14">
        <v>42780</v>
      </c>
      <c r="C50" s="144" t="s">
        <v>266</v>
      </c>
      <c r="D50" s="145">
        <v>29.67</v>
      </c>
      <c r="E50" s="152"/>
      <c r="F50" s="153"/>
      <c r="K50" s="14">
        <v>42780</v>
      </c>
      <c r="M50" s="14">
        <f t="shared" si="0"/>
        <v>42780</v>
      </c>
      <c r="N50" s="14">
        <v>42780</v>
      </c>
      <c r="O50" s="9">
        <f t="shared" si="1"/>
        <v>0</v>
      </c>
      <c r="P50" s="9">
        <f t="shared" si="2"/>
        <v>0</v>
      </c>
      <c r="Q50" s="9">
        <f t="shared" si="3"/>
        <v>0</v>
      </c>
      <c r="R50" s="9">
        <f t="shared" si="4"/>
        <v>-30</v>
      </c>
      <c r="S50" s="134">
        <v>22</v>
      </c>
      <c r="T50" s="8">
        <f t="shared" si="5"/>
        <v>0</v>
      </c>
      <c r="U50" s="8">
        <f t="shared" si="6"/>
        <v>-890.1</v>
      </c>
      <c r="V50" s="134">
        <f t="shared" si="7"/>
        <v>122</v>
      </c>
      <c r="Y50" s="8"/>
    </row>
    <row r="51" spans="1:25" ht="11.25">
      <c r="A51" s="144" t="s">
        <v>267</v>
      </c>
      <c r="B51" s="14">
        <v>42752</v>
      </c>
      <c r="C51" s="144" t="s">
        <v>268</v>
      </c>
      <c r="D51" s="145">
        <v>7188.23</v>
      </c>
      <c r="E51" s="152"/>
      <c r="F51" s="153"/>
      <c r="K51" s="14">
        <v>42774</v>
      </c>
      <c r="M51" s="14">
        <f t="shared" si="0"/>
        <v>42774</v>
      </c>
      <c r="N51" s="14">
        <v>42774</v>
      </c>
      <c r="O51" s="9">
        <f t="shared" si="1"/>
        <v>0</v>
      </c>
      <c r="P51" s="9">
        <f t="shared" si="2"/>
        <v>0</v>
      </c>
      <c r="Q51" s="9">
        <f t="shared" si="3"/>
        <v>0</v>
      </c>
      <c r="R51" s="9">
        <f t="shared" si="4"/>
        <v>-30</v>
      </c>
      <c r="S51" s="134">
        <v>29</v>
      </c>
      <c r="T51" s="8">
        <f t="shared" si="5"/>
        <v>0</v>
      </c>
      <c r="U51" s="8">
        <f t="shared" si="6"/>
        <v>-215646.9</v>
      </c>
      <c r="V51" s="134">
        <f t="shared" si="7"/>
        <v>129</v>
      </c>
      <c r="Y51" s="8"/>
    </row>
    <row r="52" spans="1:25" ht="11.25">
      <c r="A52" s="144" t="s">
        <v>269</v>
      </c>
      <c r="B52" s="14">
        <v>42760</v>
      </c>
      <c r="C52" s="144" t="s">
        <v>270</v>
      </c>
      <c r="D52" s="145">
        <v>435.6</v>
      </c>
      <c r="E52" s="152"/>
      <c r="F52" s="153"/>
      <c r="K52" s="14">
        <v>42779</v>
      </c>
      <c r="M52" s="14">
        <f t="shared" si="0"/>
        <v>42779</v>
      </c>
      <c r="N52" s="14">
        <v>42779</v>
      </c>
      <c r="O52" s="9">
        <f t="shared" si="1"/>
        <v>0</v>
      </c>
      <c r="P52" s="9">
        <f t="shared" si="2"/>
        <v>0</v>
      </c>
      <c r="Q52" s="9">
        <f t="shared" si="3"/>
        <v>0</v>
      </c>
      <c r="R52" s="9">
        <f t="shared" si="4"/>
        <v>-30</v>
      </c>
      <c r="S52" s="134">
        <v>29</v>
      </c>
      <c r="T52" s="8">
        <f t="shared" si="5"/>
        <v>0</v>
      </c>
      <c r="U52" s="8">
        <f t="shared" si="6"/>
        <v>-13068</v>
      </c>
      <c r="V52" s="134">
        <f t="shared" si="7"/>
        <v>129</v>
      </c>
      <c r="Y52" s="8"/>
    </row>
    <row r="53" spans="1:25" ht="11.25">
      <c r="A53" s="144" t="s">
        <v>271</v>
      </c>
      <c r="B53" s="14">
        <v>42760</v>
      </c>
      <c r="C53" s="144" t="s">
        <v>272</v>
      </c>
      <c r="D53" s="145">
        <v>435.6</v>
      </c>
      <c r="E53" s="152"/>
      <c r="F53" s="153"/>
      <c r="K53" s="14">
        <v>42779</v>
      </c>
      <c r="M53" s="14">
        <f t="shared" si="0"/>
        <v>42779</v>
      </c>
      <c r="N53" s="14">
        <v>42779</v>
      </c>
      <c r="O53" s="9">
        <f t="shared" si="1"/>
        <v>0</v>
      </c>
      <c r="P53" s="9">
        <f t="shared" si="2"/>
        <v>0</v>
      </c>
      <c r="Q53" s="9">
        <f t="shared" si="3"/>
        <v>0</v>
      </c>
      <c r="R53" s="9">
        <f t="shared" si="4"/>
        <v>-30</v>
      </c>
      <c r="S53" s="134">
        <v>29</v>
      </c>
      <c r="T53" s="8">
        <f t="shared" si="5"/>
        <v>0</v>
      </c>
      <c r="U53" s="8">
        <f t="shared" si="6"/>
        <v>-13068</v>
      </c>
      <c r="V53" s="134">
        <f t="shared" si="7"/>
        <v>129</v>
      </c>
      <c r="Y53" s="8"/>
    </row>
    <row r="54" spans="1:25" ht="11.25">
      <c r="A54" s="144" t="s">
        <v>273</v>
      </c>
      <c r="B54" s="14">
        <v>42760</v>
      </c>
      <c r="C54" s="144" t="s">
        <v>274</v>
      </c>
      <c r="D54" s="145">
        <v>490.05</v>
      </c>
      <c r="E54" s="152"/>
      <c r="F54" s="153"/>
      <c r="K54" s="14">
        <v>42779</v>
      </c>
      <c r="M54" s="14">
        <f t="shared" si="0"/>
        <v>42779</v>
      </c>
      <c r="N54" s="14">
        <v>42779</v>
      </c>
      <c r="O54" s="9">
        <f t="shared" si="1"/>
        <v>0</v>
      </c>
      <c r="P54" s="9">
        <f t="shared" si="2"/>
        <v>0</v>
      </c>
      <c r="Q54" s="9">
        <f t="shared" si="3"/>
        <v>0</v>
      </c>
      <c r="R54" s="9">
        <f t="shared" si="4"/>
        <v>-30</v>
      </c>
      <c r="S54" s="134">
        <v>29</v>
      </c>
      <c r="T54" s="8">
        <f t="shared" si="5"/>
        <v>0</v>
      </c>
      <c r="U54" s="8">
        <f t="shared" si="6"/>
        <v>-14701.5</v>
      </c>
      <c r="V54" s="134">
        <f t="shared" si="7"/>
        <v>129</v>
      </c>
      <c r="Y54" s="8"/>
    </row>
    <row r="55" spans="1:25" ht="11.25">
      <c r="A55" s="144" t="s">
        <v>275</v>
      </c>
      <c r="B55" s="14">
        <v>42760</v>
      </c>
      <c r="C55" s="144" t="s">
        <v>276</v>
      </c>
      <c r="D55" s="145">
        <v>435.6</v>
      </c>
      <c r="E55" s="152"/>
      <c r="F55" s="153"/>
      <c r="K55" s="14">
        <v>42779</v>
      </c>
      <c r="M55" s="14">
        <f t="shared" si="0"/>
        <v>42779</v>
      </c>
      <c r="N55" s="14">
        <v>42779</v>
      </c>
      <c r="O55" s="9">
        <f t="shared" si="1"/>
        <v>0</v>
      </c>
      <c r="P55" s="9">
        <f t="shared" si="2"/>
        <v>0</v>
      </c>
      <c r="Q55" s="9">
        <f t="shared" si="3"/>
        <v>0</v>
      </c>
      <c r="R55" s="9">
        <f t="shared" si="4"/>
        <v>-30</v>
      </c>
      <c r="S55" s="134">
        <v>29</v>
      </c>
      <c r="T55" s="8">
        <f t="shared" si="5"/>
        <v>0</v>
      </c>
      <c r="U55" s="8">
        <f t="shared" si="6"/>
        <v>-13068</v>
      </c>
      <c r="V55" s="134">
        <f t="shared" si="7"/>
        <v>129</v>
      </c>
      <c r="Y55" s="8"/>
    </row>
    <row r="56" spans="1:25" ht="11.25">
      <c r="A56" s="144" t="s">
        <v>277</v>
      </c>
      <c r="B56" s="14">
        <v>42760</v>
      </c>
      <c r="C56" s="144" t="s">
        <v>278</v>
      </c>
      <c r="D56" s="145">
        <v>376.61</v>
      </c>
      <c r="E56" s="152"/>
      <c r="F56" s="153"/>
      <c r="K56" s="14">
        <v>42779</v>
      </c>
      <c r="M56" s="14">
        <f t="shared" si="0"/>
        <v>42779</v>
      </c>
      <c r="N56" s="14">
        <v>42779</v>
      </c>
      <c r="O56" s="9">
        <f t="shared" si="1"/>
        <v>0</v>
      </c>
      <c r="P56" s="9">
        <f t="shared" si="2"/>
        <v>0</v>
      </c>
      <c r="Q56" s="9">
        <f t="shared" si="3"/>
        <v>0</v>
      </c>
      <c r="R56" s="9">
        <f t="shared" si="4"/>
        <v>-30</v>
      </c>
      <c r="S56" s="134">
        <v>29</v>
      </c>
      <c r="T56" s="8">
        <f t="shared" si="5"/>
        <v>0</v>
      </c>
      <c r="U56" s="8">
        <f t="shared" si="6"/>
        <v>-11298.300000000001</v>
      </c>
      <c r="V56" s="134">
        <f t="shared" si="7"/>
        <v>129</v>
      </c>
      <c r="Y56" s="8"/>
    </row>
    <row r="57" spans="1:25" ht="11.25">
      <c r="A57" s="144" t="s">
        <v>279</v>
      </c>
      <c r="B57" s="14">
        <v>42760</v>
      </c>
      <c r="C57" s="144" t="s">
        <v>280</v>
      </c>
      <c r="D57" s="145">
        <v>125.54</v>
      </c>
      <c r="E57" s="152"/>
      <c r="F57" s="153"/>
      <c r="K57" s="14">
        <v>42779</v>
      </c>
      <c r="M57" s="14">
        <f t="shared" si="0"/>
        <v>42779</v>
      </c>
      <c r="N57" s="14">
        <v>42779</v>
      </c>
      <c r="O57" s="9">
        <f t="shared" si="1"/>
        <v>0</v>
      </c>
      <c r="P57" s="9">
        <f t="shared" si="2"/>
        <v>0</v>
      </c>
      <c r="Q57" s="9">
        <f t="shared" si="3"/>
        <v>0</v>
      </c>
      <c r="R57" s="9">
        <f t="shared" si="4"/>
        <v>-30</v>
      </c>
      <c r="S57" s="134">
        <v>29</v>
      </c>
      <c r="T57" s="8">
        <f t="shared" si="5"/>
        <v>0</v>
      </c>
      <c r="U57" s="8">
        <f t="shared" si="6"/>
        <v>-3766.2000000000003</v>
      </c>
      <c r="V57" s="134">
        <f t="shared" si="7"/>
        <v>129</v>
      </c>
      <c r="Y57" s="8"/>
    </row>
    <row r="58" spans="1:25" ht="11.25">
      <c r="A58" s="144" t="s">
        <v>281</v>
      </c>
      <c r="B58" s="14">
        <v>42760</v>
      </c>
      <c r="C58" s="144" t="s">
        <v>282</v>
      </c>
      <c r="D58" s="145">
        <v>435.6</v>
      </c>
      <c r="E58" s="152"/>
      <c r="F58" s="153"/>
      <c r="K58" s="14">
        <v>42779</v>
      </c>
      <c r="M58" s="14">
        <f t="shared" si="0"/>
        <v>42779</v>
      </c>
      <c r="N58" s="14">
        <v>42779</v>
      </c>
      <c r="O58" s="9">
        <f t="shared" si="1"/>
        <v>0</v>
      </c>
      <c r="P58" s="9">
        <f t="shared" si="2"/>
        <v>0</v>
      </c>
      <c r="Q58" s="9">
        <f t="shared" si="3"/>
        <v>0</v>
      </c>
      <c r="R58" s="9">
        <f t="shared" si="4"/>
        <v>-30</v>
      </c>
      <c r="S58" s="134">
        <v>29</v>
      </c>
      <c r="T58" s="8">
        <f t="shared" si="5"/>
        <v>0</v>
      </c>
      <c r="U58" s="8">
        <f t="shared" si="6"/>
        <v>-13068</v>
      </c>
      <c r="V58" s="134">
        <f t="shared" si="7"/>
        <v>129</v>
      </c>
      <c r="Y58" s="8"/>
    </row>
    <row r="59" spans="1:25" ht="11.25">
      <c r="A59" s="144" t="s">
        <v>283</v>
      </c>
      <c r="B59" s="14">
        <v>42761</v>
      </c>
      <c r="C59" s="144" t="s">
        <v>284</v>
      </c>
      <c r="D59" s="145">
        <v>5.56</v>
      </c>
      <c r="E59" s="152"/>
      <c r="F59" s="153"/>
      <c r="K59" s="14">
        <v>42786</v>
      </c>
      <c r="M59" s="14">
        <f t="shared" si="0"/>
        <v>42794</v>
      </c>
      <c r="N59" s="14">
        <v>42794</v>
      </c>
      <c r="O59" s="9">
        <f t="shared" si="1"/>
        <v>8</v>
      </c>
      <c r="P59" s="9">
        <f t="shared" si="2"/>
        <v>0</v>
      </c>
      <c r="Q59" s="9">
        <f t="shared" si="3"/>
        <v>8</v>
      </c>
      <c r="R59" s="9">
        <f t="shared" si="4"/>
        <v>-22</v>
      </c>
      <c r="S59" s="134">
        <v>22</v>
      </c>
      <c r="T59" s="8">
        <f t="shared" si="5"/>
        <v>0</v>
      </c>
      <c r="U59" s="8">
        <f t="shared" si="6"/>
        <v>-122.32</v>
      </c>
      <c r="V59" s="134">
        <f t="shared" si="7"/>
        <v>122</v>
      </c>
      <c r="Y59" s="8"/>
    </row>
    <row r="60" spans="1:25" ht="11.25">
      <c r="A60" s="144" t="s">
        <v>285</v>
      </c>
      <c r="B60" s="14">
        <v>42746</v>
      </c>
      <c r="C60" s="144" t="s">
        <v>286</v>
      </c>
      <c r="D60" s="145">
        <v>36.82</v>
      </c>
      <c r="E60" s="152"/>
      <c r="F60" s="153"/>
      <c r="K60" s="14">
        <v>42786</v>
      </c>
      <c r="M60" s="14">
        <f t="shared" si="0"/>
        <v>42794</v>
      </c>
      <c r="N60" s="14">
        <v>42794</v>
      </c>
      <c r="O60" s="9">
        <f t="shared" si="1"/>
        <v>8</v>
      </c>
      <c r="P60" s="9">
        <f t="shared" si="2"/>
        <v>0</v>
      </c>
      <c r="Q60" s="9">
        <f t="shared" si="3"/>
        <v>8</v>
      </c>
      <c r="R60" s="9">
        <f t="shared" si="4"/>
        <v>-22</v>
      </c>
      <c r="S60" s="134">
        <v>22</v>
      </c>
      <c r="T60" s="8">
        <f t="shared" si="5"/>
        <v>0</v>
      </c>
      <c r="U60" s="8">
        <f t="shared" si="6"/>
        <v>-810.04</v>
      </c>
      <c r="V60" s="134">
        <f t="shared" si="7"/>
        <v>122</v>
      </c>
      <c r="Y60" s="8"/>
    </row>
    <row r="61" spans="1:25" ht="11.25">
      <c r="A61" s="144" t="s">
        <v>287</v>
      </c>
      <c r="B61" s="14">
        <v>42753</v>
      </c>
      <c r="C61" s="144" t="s">
        <v>288</v>
      </c>
      <c r="D61" s="145">
        <v>36.18</v>
      </c>
      <c r="E61" s="152"/>
      <c r="F61" s="153"/>
      <c r="K61" s="14">
        <v>42786</v>
      </c>
      <c r="M61" s="14">
        <f t="shared" si="0"/>
        <v>42794</v>
      </c>
      <c r="N61" s="14">
        <v>42794</v>
      </c>
      <c r="O61" s="9">
        <f t="shared" si="1"/>
        <v>8</v>
      </c>
      <c r="P61" s="9">
        <f t="shared" si="2"/>
        <v>0</v>
      </c>
      <c r="Q61" s="9">
        <f t="shared" si="3"/>
        <v>8</v>
      </c>
      <c r="R61" s="9">
        <f t="shared" si="4"/>
        <v>-22</v>
      </c>
      <c r="S61" s="134">
        <v>22</v>
      </c>
      <c r="T61" s="8">
        <f t="shared" si="5"/>
        <v>0</v>
      </c>
      <c r="U61" s="8">
        <f t="shared" si="6"/>
        <v>-795.96</v>
      </c>
      <c r="V61" s="134">
        <f t="shared" si="7"/>
        <v>122</v>
      </c>
      <c r="Y61" s="8"/>
    </row>
    <row r="62" spans="1:25" ht="11.25">
      <c r="A62" s="144" t="s">
        <v>289</v>
      </c>
      <c r="B62" s="14">
        <v>42766</v>
      </c>
      <c r="C62" s="144" t="s">
        <v>290</v>
      </c>
      <c r="D62" s="145">
        <v>74.96</v>
      </c>
      <c r="E62" s="152"/>
      <c r="F62" s="153"/>
      <c r="K62" s="14">
        <v>42786</v>
      </c>
      <c r="M62" s="14">
        <f t="shared" si="0"/>
        <v>42794</v>
      </c>
      <c r="N62" s="14">
        <v>42794</v>
      </c>
      <c r="O62" s="9">
        <f t="shared" si="1"/>
        <v>8</v>
      </c>
      <c r="P62" s="9">
        <f t="shared" si="2"/>
        <v>0</v>
      </c>
      <c r="Q62" s="9">
        <f t="shared" si="3"/>
        <v>8</v>
      </c>
      <c r="R62" s="9">
        <f t="shared" si="4"/>
        <v>-22</v>
      </c>
      <c r="S62" s="134">
        <v>22</v>
      </c>
      <c r="T62" s="8">
        <f t="shared" si="5"/>
        <v>0</v>
      </c>
      <c r="U62" s="8">
        <f t="shared" si="6"/>
        <v>-1649.12</v>
      </c>
      <c r="V62" s="134">
        <f t="shared" si="7"/>
        <v>122</v>
      </c>
      <c r="Y62" s="8"/>
    </row>
    <row r="63" spans="1:25" ht="11.25">
      <c r="A63" s="144" t="s">
        <v>291</v>
      </c>
      <c r="B63" s="14">
        <v>42766</v>
      </c>
      <c r="C63" s="144" t="s">
        <v>292</v>
      </c>
      <c r="D63" s="145">
        <v>24.66</v>
      </c>
      <c r="E63" s="152"/>
      <c r="F63" s="153"/>
      <c r="K63" s="14">
        <v>42786</v>
      </c>
      <c r="M63" s="14">
        <f t="shared" si="0"/>
        <v>42794</v>
      </c>
      <c r="N63" s="14">
        <v>42794</v>
      </c>
      <c r="O63" s="9">
        <f t="shared" si="1"/>
        <v>8</v>
      </c>
      <c r="P63" s="9">
        <f t="shared" si="2"/>
        <v>0</v>
      </c>
      <c r="Q63" s="9">
        <f t="shared" si="3"/>
        <v>8</v>
      </c>
      <c r="R63" s="9">
        <f t="shared" si="4"/>
        <v>-22</v>
      </c>
      <c r="S63" s="134">
        <v>22</v>
      </c>
      <c r="T63" s="8">
        <f t="shared" si="5"/>
        <v>0</v>
      </c>
      <c r="U63" s="8">
        <f t="shared" si="6"/>
        <v>-542.52</v>
      </c>
      <c r="V63" s="134">
        <f t="shared" si="7"/>
        <v>122</v>
      </c>
      <c r="Y63" s="8"/>
    </row>
    <row r="64" spans="1:25" ht="11.25">
      <c r="A64" s="144" t="s">
        <v>293</v>
      </c>
      <c r="B64" s="14">
        <v>42760</v>
      </c>
      <c r="C64" s="144" t="s">
        <v>294</v>
      </c>
      <c r="D64" s="145">
        <v>712.37</v>
      </c>
      <c r="E64" s="152"/>
      <c r="F64" s="153"/>
      <c r="K64" s="14">
        <v>42786</v>
      </c>
      <c r="M64" s="14">
        <f t="shared" si="0"/>
        <v>42793</v>
      </c>
      <c r="N64" s="14">
        <v>42793</v>
      </c>
      <c r="O64" s="9">
        <f t="shared" si="1"/>
        <v>7</v>
      </c>
      <c r="P64" s="9">
        <f t="shared" si="2"/>
        <v>0</v>
      </c>
      <c r="Q64" s="9">
        <f t="shared" si="3"/>
        <v>7</v>
      </c>
      <c r="R64" s="9">
        <f t="shared" si="4"/>
        <v>-23</v>
      </c>
      <c r="S64" s="134">
        <v>21</v>
      </c>
      <c r="T64" s="8">
        <f t="shared" si="5"/>
        <v>0</v>
      </c>
      <c r="U64" s="8">
        <f t="shared" si="6"/>
        <v>-16384.51</v>
      </c>
      <c r="V64" s="134">
        <f t="shared" si="7"/>
        <v>121</v>
      </c>
      <c r="Y64" s="8"/>
    </row>
    <row r="65" spans="1:25" ht="11.25">
      <c r="A65" s="144" t="s">
        <v>295</v>
      </c>
      <c r="B65" s="14">
        <v>42766</v>
      </c>
      <c r="C65" s="144" t="s">
        <v>296</v>
      </c>
      <c r="D65" s="145">
        <v>17.44</v>
      </c>
      <c r="E65" s="152"/>
      <c r="F65" s="153"/>
      <c r="K65" s="14">
        <v>42786</v>
      </c>
      <c r="M65" s="14">
        <f t="shared" si="0"/>
        <v>42794</v>
      </c>
      <c r="N65" s="14">
        <v>42794</v>
      </c>
      <c r="O65" s="9">
        <f t="shared" si="1"/>
        <v>8</v>
      </c>
      <c r="P65" s="9">
        <f t="shared" si="2"/>
        <v>0</v>
      </c>
      <c r="Q65" s="9">
        <f t="shared" si="3"/>
        <v>8</v>
      </c>
      <c r="R65" s="9">
        <f t="shared" si="4"/>
        <v>-22</v>
      </c>
      <c r="S65" s="134">
        <v>22</v>
      </c>
      <c r="T65" s="8">
        <f t="shared" si="5"/>
        <v>0</v>
      </c>
      <c r="U65" s="8">
        <f t="shared" si="6"/>
        <v>-383.68</v>
      </c>
      <c r="V65" s="134">
        <f t="shared" si="7"/>
        <v>122</v>
      </c>
      <c r="Y65" s="8"/>
    </row>
    <row r="66" spans="1:25" ht="11.25">
      <c r="A66" s="144" t="s">
        <v>297</v>
      </c>
      <c r="B66" s="14">
        <v>42768</v>
      </c>
      <c r="C66" s="144" t="s">
        <v>298</v>
      </c>
      <c r="D66" s="145">
        <v>254.11</v>
      </c>
      <c r="E66" s="152"/>
      <c r="F66" s="153"/>
      <c r="K66" s="14">
        <v>42786</v>
      </c>
      <c r="M66" s="14">
        <f t="shared" si="0"/>
        <v>42790</v>
      </c>
      <c r="N66" s="14">
        <v>42790</v>
      </c>
      <c r="O66" s="9">
        <f t="shared" si="1"/>
        <v>4</v>
      </c>
      <c r="P66" s="9">
        <f t="shared" si="2"/>
        <v>0</v>
      </c>
      <c r="Q66" s="9">
        <f t="shared" si="3"/>
        <v>4</v>
      </c>
      <c r="R66" s="9">
        <f t="shared" si="4"/>
        <v>-26</v>
      </c>
      <c r="S66" s="134">
        <v>29</v>
      </c>
      <c r="T66" s="8">
        <f t="shared" si="5"/>
        <v>0</v>
      </c>
      <c r="U66" s="8">
        <f t="shared" si="6"/>
        <v>-6606.860000000001</v>
      </c>
      <c r="V66" s="134">
        <f t="shared" si="7"/>
        <v>129</v>
      </c>
      <c r="Y66" s="8"/>
    </row>
    <row r="67" spans="1:25" ht="11.25">
      <c r="A67" s="144" t="s">
        <v>299</v>
      </c>
      <c r="B67" s="14">
        <v>42736</v>
      </c>
      <c r="C67" s="144" t="s">
        <v>300</v>
      </c>
      <c r="D67" s="145">
        <v>600</v>
      </c>
      <c r="E67" s="152"/>
      <c r="F67" s="153"/>
      <c r="K67" s="14">
        <v>42786</v>
      </c>
      <c r="M67" s="14">
        <f t="shared" si="0"/>
        <v>42790</v>
      </c>
      <c r="N67" s="14">
        <v>42790</v>
      </c>
      <c r="O67" s="9">
        <f t="shared" si="1"/>
        <v>4</v>
      </c>
      <c r="P67" s="9">
        <f t="shared" si="2"/>
        <v>0</v>
      </c>
      <c r="Q67" s="9">
        <f t="shared" si="3"/>
        <v>4</v>
      </c>
      <c r="R67" s="9">
        <f t="shared" si="4"/>
        <v>-26</v>
      </c>
      <c r="S67" s="134">
        <v>29</v>
      </c>
      <c r="T67" s="8">
        <f t="shared" si="5"/>
        <v>0</v>
      </c>
      <c r="U67" s="8">
        <f t="shared" si="6"/>
        <v>-15600</v>
      </c>
      <c r="V67" s="134">
        <f t="shared" si="7"/>
        <v>129</v>
      </c>
      <c r="Y67" s="8"/>
    </row>
    <row r="68" spans="1:25" ht="11.25">
      <c r="A68" s="144" t="s">
        <v>301</v>
      </c>
      <c r="B68" s="14">
        <v>42736</v>
      </c>
      <c r="C68" s="144" t="s">
        <v>302</v>
      </c>
      <c r="D68" s="145">
        <v>450</v>
      </c>
      <c r="E68" s="152"/>
      <c r="F68" s="153"/>
      <c r="K68" s="14">
        <v>42786</v>
      </c>
      <c r="M68" s="14">
        <f t="shared" si="0"/>
        <v>42790</v>
      </c>
      <c r="N68" s="14">
        <v>42790</v>
      </c>
      <c r="O68" s="9">
        <f t="shared" si="1"/>
        <v>4</v>
      </c>
      <c r="P68" s="9">
        <f t="shared" si="2"/>
        <v>0</v>
      </c>
      <c r="Q68" s="9">
        <f t="shared" si="3"/>
        <v>4</v>
      </c>
      <c r="R68" s="9">
        <f t="shared" si="4"/>
        <v>-26</v>
      </c>
      <c r="S68" s="134">
        <v>29</v>
      </c>
      <c r="T68" s="8">
        <f t="shared" si="5"/>
        <v>0</v>
      </c>
      <c r="U68" s="8">
        <f t="shared" si="6"/>
        <v>-11700</v>
      </c>
      <c r="V68" s="134">
        <f t="shared" si="7"/>
        <v>129</v>
      </c>
      <c r="Y68" s="8"/>
    </row>
    <row r="69" spans="1:25" ht="11.25">
      <c r="A69" s="144" t="s">
        <v>303</v>
      </c>
      <c r="B69" s="14">
        <v>42736</v>
      </c>
      <c r="C69" s="144" t="s">
        <v>304</v>
      </c>
      <c r="D69" s="145">
        <v>450</v>
      </c>
      <c r="E69" s="152"/>
      <c r="F69" s="153"/>
      <c r="K69" s="14">
        <v>42786</v>
      </c>
      <c r="M69" s="14">
        <f t="shared" si="0"/>
        <v>42790</v>
      </c>
      <c r="N69" s="14">
        <v>42790</v>
      </c>
      <c r="O69" s="9">
        <f t="shared" si="1"/>
        <v>4</v>
      </c>
      <c r="P69" s="9">
        <f t="shared" si="2"/>
        <v>0</v>
      </c>
      <c r="Q69" s="9">
        <f t="shared" si="3"/>
        <v>4</v>
      </c>
      <c r="R69" s="9">
        <f t="shared" si="4"/>
        <v>-26</v>
      </c>
      <c r="S69" s="134">
        <v>29</v>
      </c>
      <c r="T69" s="8">
        <f t="shared" si="5"/>
        <v>0</v>
      </c>
      <c r="U69" s="8">
        <f t="shared" si="6"/>
        <v>-11700</v>
      </c>
      <c r="V69" s="134">
        <f t="shared" si="7"/>
        <v>129</v>
      </c>
      <c r="Y69" s="8"/>
    </row>
    <row r="70" spans="1:25" ht="11.25">
      <c r="A70" s="144" t="s">
        <v>305</v>
      </c>
      <c r="B70" s="14">
        <v>42736</v>
      </c>
      <c r="C70" s="144" t="s">
        <v>306</v>
      </c>
      <c r="D70" s="145">
        <v>30</v>
      </c>
      <c r="E70" s="152"/>
      <c r="F70" s="153"/>
      <c r="K70" s="14">
        <v>42786</v>
      </c>
      <c r="M70" s="14">
        <f aca="true" t="shared" si="8" ref="M70:M133">+N70</f>
        <v>42790</v>
      </c>
      <c r="N70" s="14">
        <v>42790</v>
      </c>
      <c r="O70" s="9">
        <f aca="true" t="shared" si="9" ref="O70:O133">+M70-K70</f>
        <v>4</v>
      </c>
      <c r="P70" s="9">
        <f aca="true" t="shared" si="10" ref="P70:P133">+N70-M70</f>
        <v>0</v>
      </c>
      <c r="Q70" s="9">
        <f aca="true" t="shared" si="11" ref="Q70:Q133">+N70-K70</f>
        <v>4</v>
      </c>
      <c r="R70" s="9">
        <f aca="true" t="shared" si="12" ref="R70:R133">+Q70-30</f>
        <v>-26</v>
      </c>
      <c r="S70" s="134">
        <v>29</v>
      </c>
      <c r="T70" s="8">
        <f aca="true" t="shared" si="13" ref="T70:T133">+P70*D70</f>
        <v>0</v>
      </c>
      <c r="U70" s="8">
        <f t="shared" si="6"/>
        <v>-780</v>
      </c>
      <c r="V70" s="134">
        <f t="shared" si="7"/>
        <v>129</v>
      </c>
      <c r="Y70" s="8"/>
    </row>
    <row r="71" spans="1:25" ht="11.25">
      <c r="A71" s="144" t="s">
        <v>307</v>
      </c>
      <c r="B71" s="14">
        <v>42736</v>
      </c>
      <c r="C71" s="144" t="s">
        <v>308</v>
      </c>
      <c r="D71" s="145">
        <v>600</v>
      </c>
      <c r="E71" s="152"/>
      <c r="F71" s="153"/>
      <c r="K71" s="14">
        <v>42786</v>
      </c>
      <c r="M71" s="14">
        <f t="shared" si="8"/>
        <v>42790</v>
      </c>
      <c r="N71" s="14">
        <v>42790</v>
      </c>
      <c r="O71" s="9">
        <f t="shared" si="9"/>
        <v>4</v>
      </c>
      <c r="P71" s="9">
        <f t="shared" si="10"/>
        <v>0</v>
      </c>
      <c r="Q71" s="9">
        <f t="shared" si="11"/>
        <v>4</v>
      </c>
      <c r="R71" s="9">
        <f t="shared" si="12"/>
        <v>-26</v>
      </c>
      <c r="S71" s="134">
        <v>29</v>
      </c>
      <c r="T71" s="8">
        <f t="shared" si="13"/>
        <v>0</v>
      </c>
      <c r="U71" s="8">
        <f aca="true" t="shared" si="14" ref="U71:U134">+R71*D71</f>
        <v>-15600</v>
      </c>
      <c r="V71" s="134">
        <f aca="true" t="shared" si="15" ref="V71:V134">IF(P71&gt;30,200+S71,100+S71)</f>
        <v>129</v>
      </c>
      <c r="Y71" s="8"/>
    </row>
    <row r="72" spans="1:25" ht="11.25">
      <c r="A72" s="144" t="s">
        <v>309</v>
      </c>
      <c r="B72" s="14">
        <v>42736</v>
      </c>
      <c r="C72" s="144" t="s">
        <v>310</v>
      </c>
      <c r="D72" s="145">
        <v>360</v>
      </c>
      <c r="E72" s="152"/>
      <c r="F72" s="153"/>
      <c r="K72" s="14">
        <v>42786</v>
      </c>
      <c r="M72" s="14">
        <f t="shared" si="8"/>
        <v>42790</v>
      </c>
      <c r="N72" s="14">
        <v>42790</v>
      </c>
      <c r="O72" s="9">
        <f t="shared" si="9"/>
        <v>4</v>
      </c>
      <c r="P72" s="9">
        <f t="shared" si="10"/>
        <v>0</v>
      </c>
      <c r="Q72" s="9">
        <f t="shared" si="11"/>
        <v>4</v>
      </c>
      <c r="R72" s="9">
        <f t="shared" si="12"/>
        <v>-26</v>
      </c>
      <c r="S72" s="134">
        <v>29</v>
      </c>
      <c r="T72" s="8">
        <f t="shared" si="13"/>
        <v>0</v>
      </c>
      <c r="U72" s="8">
        <f t="shared" si="14"/>
        <v>-9360</v>
      </c>
      <c r="V72" s="134">
        <f t="shared" si="15"/>
        <v>129</v>
      </c>
      <c r="Y72" s="8"/>
    </row>
    <row r="73" spans="1:25" ht="11.25">
      <c r="A73" s="144" t="s">
        <v>311</v>
      </c>
      <c r="B73" s="14">
        <v>42736</v>
      </c>
      <c r="C73" s="144" t="s">
        <v>312</v>
      </c>
      <c r="D73" s="145">
        <v>480</v>
      </c>
      <c r="E73" s="152"/>
      <c r="F73" s="153"/>
      <c r="K73" s="14">
        <v>42786</v>
      </c>
      <c r="M73" s="14">
        <f t="shared" si="8"/>
        <v>42790</v>
      </c>
      <c r="N73" s="14">
        <v>42790</v>
      </c>
      <c r="O73" s="9">
        <f t="shared" si="9"/>
        <v>4</v>
      </c>
      <c r="P73" s="9">
        <f t="shared" si="10"/>
        <v>0</v>
      </c>
      <c r="Q73" s="9">
        <f t="shared" si="11"/>
        <v>4</v>
      </c>
      <c r="R73" s="9">
        <f t="shared" si="12"/>
        <v>-26</v>
      </c>
      <c r="S73" s="134">
        <v>29</v>
      </c>
      <c r="T73" s="8">
        <f t="shared" si="13"/>
        <v>0</v>
      </c>
      <c r="U73" s="8">
        <f t="shared" si="14"/>
        <v>-12480</v>
      </c>
      <c r="V73" s="134">
        <f t="shared" si="15"/>
        <v>129</v>
      </c>
      <c r="Y73" s="8"/>
    </row>
    <row r="74" spans="1:25" ht="11.25">
      <c r="A74" s="144" t="s">
        <v>313</v>
      </c>
      <c r="B74" s="14">
        <v>42736</v>
      </c>
      <c r="C74" s="144" t="s">
        <v>314</v>
      </c>
      <c r="D74" s="145">
        <v>180</v>
      </c>
      <c r="E74" s="152"/>
      <c r="F74" s="153"/>
      <c r="K74" s="14">
        <v>42786</v>
      </c>
      <c r="M74" s="14">
        <f t="shared" si="8"/>
        <v>42790</v>
      </c>
      <c r="N74" s="14">
        <v>42790</v>
      </c>
      <c r="O74" s="9">
        <f t="shared" si="9"/>
        <v>4</v>
      </c>
      <c r="P74" s="9">
        <f t="shared" si="10"/>
        <v>0</v>
      </c>
      <c r="Q74" s="9">
        <f t="shared" si="11"/>
        <v>4</v>
      </c>
      <c r="R74" s="9">
        <f t="shared" si="12"/>
        <v>-26</v>
      </c>
      <c r="S74" s="134">
        <v>29</v>
      </c>
      <c r="T74" s="8">
        <f t="shared" si="13"/>
        <v>0</v>
      </c>
      <c r="U74" s="8">
        <f t="shared" si="14"/>
        <v>-4680</v>
      </c>
      <c r="V74" s="134">
        <f t="shared" si="15"/>
        <v>129</v>
      </c>
      <c r="Y74" s="8"/>
    </row>
    <row r="75" spans="1:25" ht="11.25">
      <c r="A75" s="144" t="s">
        <v>315</v>
      </c>
      <c r="B75" s="14">
        <v>42736</v>
      </c>
      <c r="C75" s="144" t="s">
        <v>316</v>
      </c>
      <c r="D75" s="145">
        <v>360</v>
      </c>
      <c r="E75" s="152"/>
      <c r="F75" s="153"/>
      <c r="K75" s="14">
        <v>42786</v>
      </c>
      <c r="M75" s="14">
        <f t="shared" si="8"/>
        <v>42790</v>
      </c>
      <c r="N75" s="14">
        <v>42790</v>
      </c>
      <c r="O75" s="9">
        <f t="shared" si="9"/>
        <v>4</v>
      </c>
      <c r="P75" s="9">
        <f t="shared" si="10"/>
        <v>0</v>
      </c>
      <c r="Q75" s="9">
        <f t="shared" si="11"/>
        <v>4</v>
      </c>
      <c r="R75" s="9">
        <f t="shared" si="12"/>
        <v>-26</v>
      </c>
      <c r="S75" s="134">
        <v>29</v>
      </c>
      <c r="T75" s="8">
        <f t="shared" si="13"/>
        <v>0</v>
      </c>
      <c r="U75" s="8">
        <f t="shared" si="14"/>
        <v>-9360</v>
      </c>
      <c r="V75" s="134">
        <f t="shared" si="15"/>
        <v>129</v>
      </c>
      <c r="Y75" s="8"/>
    </row>
    <row r="76" spans="1:25" ht="11.25">
      <c r="A76" s="144" t="s">
        <v>317</v>
      </c>
      <c r="B76" s="14">
        <v>42736</v>
      </c>
      <c r="C76" s="144" t="s">
        <v>318</v>
      </c>
      <c r="D76" s="145">
        <v>450</v>
      </c>
      <c r="E76" s="152"/>
      <c r="F76" s="153"/>
      <c r="K76" s="14">
        <v>42786</v>
      </c>
      <c r="M76" s="14">
        <f t="shared" si="8"/>
        <v>42790</v>
      </c>
      <c r="N76" s="14">
        <v>42790</v>
      </c>
      <c r="O76" s="9">
        <f t="shared" si="9"/>
        <v>4</v>
      </c>
      <c r="P76" s="9">
        <f t="shared" si="10"/>
        <v>0</v>
      </c>
      <c r="Q76" s="9">
        <f t="shared" si="11"/>
        <v>4</v>
      </c>
      <c r="R76" s="9">
        <f t="shared" si="12"/>
        <v>-26</v>
      </c>
      <c r="S76" s="134">
        <v>29</v>
      </c>
      <c r="T76" s="8">
        <f t="shared" si="13"/>
        <v>0</v>
      </c>
      <c r="U76" s="8">
        <f t="shared" si="14"/>
        <v>-11700</v>
      </c>
      <c r="V76" s="134">
        <f t="shared" si="15"/>
        <v>129</v>
      </c>
      <c r="Y76" s="8"/>
    </row>
    <row r="77" spans="1:25" ht="11.25">
      <c r="A77" s="144" t="s">
        <v>319</v>
      </c>
      <c r="B77" s="14">
        <v>42736</v>
      </c>
      <c r="C77" s="144" t="s">
        <v>320</v>
      </c>
      <c r="D77" s="145">
        <v>300</v>
      </c>
      <c r="E77" s="152"/>
      <c r="F77" s="153"/>
      <c r="K77" s="14">
        <v>42786</v>
      </c>
      <c r="M77" s="14">
        <f t="shared" si="8"/>
        <v>42790</v>
      </c>
      <c r="N77" s="14">
        <v>42790</v>
      </c>
      <c r="O77" s="9">
        <f t="shared" si="9"/>
        <v>4</v>
      </c>
      <c r="P77" s="9">
        <f t="shared" si="10"/>
        <v>0</v>
      </c>
      <c r="Q77" s="9">
        <f t="shared" si="11"/>
        <v>4</v>
      </c>
      <c r="R77" s="9">
        <f t="shared" si="12"/>
        <v>-26</v>
      </c>
      <c r="S77" s="134">
        <v>29</v>
      </c>
      <c r="T77" s="8">
        <f t="shared" si="13"/>
        <v>0</v>
      </c>
      <c r="U77" s="8">
        <f t="shared" si="14"/>
        <v>-7800</v>
      </c>
      <c r="V77" s="134">
        <f t="shared" si="15"/>
        <v>129</v>
      </c>
      <c r="Y77" s="8"/>
    </row>
    <row r="78" spans="1:25" ht="11.25">
      <c r="A78" s="144" t="s">
        <v>321</v>
      </c>
      <c r="B78" s="14">
        <v>42779</v>
      </c>
      <c r="C78" s="144" t="s">
        <v>322</v>
      </c>
      <c r="D78" s="145">
        <v>529.94</v>
      </c>
      <c r="E78" s="152"/>
      <c r="F78" s="153"/>
      <c r="K78" s="14">
        <v>42781</v>
      </c>
      <c r="M78" s="14">
        <f t="shared" si="8"/>
        <v>42781</v>
      </c>
      <c r="N78" s="14">
        <v>42781</v>
      </c>
      <c r="O78" s="9">
        <f t="shared" si="9"/>
        <v>0</v>
      </c>
      <c r="P78" s="9">
        <f t="shared" si="10"/>
        <v>0</v>
      </c>
      <c r="Q78" s="9">
        <f t="shared" si="11"/>
        <v>0</v>
      </c>
      <c r="R78" s="9">
        <f t="shared" si="12"/>
        <v>-30</v>
      </c>
      <c r="S78" s="134">
        <v>22</v>
      </c>
      <c r="T78" s="8">
        <f t="shared" si="13"/>
        <v>0</v>
      </c>
      <c r="U78" s="8">
        <f t="shared" si="14"/>
        <v>-15898.2</v>
      </c>
      <c r="V78" s="134">
        <f t="shared" si="15"/>
        <v>122</v>
      </c>
      <c r="Y78" s="8"/>
    </row>
    <row r="79" spans="1:25" ht="11.25">
      <c r="A79" s="144" t="s">
        <v>323</v>
      </c>
      <c r="B79" s="14">
        <v>42781</v>
      </c>
      <c r="C79" s="144" t="s">
        <v>324</v>
      </c>
      <c r="D79" s="145">
        <v>38.74</v>
      </c>
      <c r="E79" s="152"/>
      <c r="F79" s="153"/>
      <c r="K79" s="14">
        <v>42786</v>
      </c>
      <c r="M79" s="14">
        <f t="shared" si="8"/>
        <v>42789</v>
      </c>
      <c r="N79" s="14">
        <v>42789</v>
      </c>
      <c r="O79" s="9">
        <f t="shared" si="9"/>
        <v>3</v>
      </c>
      <c r="P79" s="9">
        <f t="shared" si="10"/>
        <v>0</v>
      </c>
      <c r="Q79" s="9">
        <f t="shared" si="11"/>
        <v>3</v>
      </c>
      <c r="R79" s="9">
        <f t="shared" si="12"/>
        <v>-27</v>
      </c>
      <c r="S79" s="134">
        <v>22</v>
      </c>
      <c r="T79" s="8">
        <f t="shared" si="13"/>
        <v>0</v>
      </c>
      <c r="U79" s="8">
        <f t="shared" si="14"/>
        <v>-1045.98</v>
      </c>
      <c r="V79" s="134">
        <f t="shared" si="15"/>
        <v>122</v>
      </c>
      <c r="Y79" s="8"/>
    </row>
    <row r="80" spans="1:25" ht="11.25">
      <c r="A80" s="144" t="s">
        <v>325</v>
      </c>
      <c r="B80" s="14">
        <v>42748</v>
      </c>
      <c r="C80" s="144" t="s">
        <v>326</v>
      </c>
      <c r="D80" s="145">
        <v>413.49</v>
      </c>
      <c r="E80" s="152"/>
      <c r="F80" s="153"/>
      <c r="K80" s="14">
        <v>42752</v>
      </c>
      <c r="M80" s="14">
        <f t="shared" si="8"/>
        <v>42752</v>
      </c>
      <c r="N80" s="14">
        <v>42752</v>
      </c>
      <c r="O80" s="9">
        <f t="shared" si="9"/>
        <v>0</v>
      </c>
      <c r="P80" s="9">
        <f t="shared" si="10"/>
        <v>0</v>
      </c>
      <c r="Q80" s="9">
        <f t="shared" si="11"/>
        <v>0</v>
      </c>
      <c r="R80" s="9">
        <f t="shared" si="12"/>
        <v>-30</v>
      </c>
      <c r="S80" s="134">
        <v>22</v>
      </c>
      <c r="T80" s="8">
        <f t="shared" si="13"/>
        <v>0</v>
      </c>
      <c r="U80" s="8">
        <f t="shared" si="14"/>
        <v>-12404.7</v>
      </c>
      <c r="V80" s="134">
        <f t="shared" si="15"/>
        <v>122</v>
      </c>
      <c r="Y80" s="8"/>
    </row>
    <row r="81" spans="1:25" ht="11.25">
      <c r="A81" s="144" t="s">
        <v>327</v>
      </c>
      <c r="B81" s="14">
        <v>42766</v>
      </c>
      <c r="C81" s="144" t="s">
        <v>328</v>
      </c>
      <c r="D81" s="145">
        <v>77</v>
      </c>
      <c r="E81" s="152"/>
      <c r="F81" s="153"/>
      <c r="K81" s="14">
        <v>42772</v>
      </c>
      <c r="M81" s="14">
        <f t="shared" si="8"/>
        <v>42772</v>
      </c>
      <c r="N81" s="14">
        <v>42772</v>
      </c>
      <c r="O81" s="9">
        <f t="shared" si="9"/>
        <v>0</v>
      </c>
      <c r="P81" s="9">
        <f t="shared" si="10"/>
        <v>0</v>
      </c>
      <c r="Q81" s="9">
        <f t="shared" si="11"/>
        <v>0</v>
      </c>
      <c r="R81" s="9">
        <f t="shared" si="12"/>
        <v>-30</v>
      </c>
      <c r="S81" s="134">
        <v>29</v>
      </c>
      <c r="T81" s="8">
        <f t="shared" si="13"/>
        <v>0</v>
      </c>
      <c r="U81" s="8">
        <f t="shared" si="14"/>
        <v>-2310</v>
      </c>
      <c r="V81" s="134">
        <f t="shared" si="15"/>
        <v>129</v>
      </c>
      <c r="Y81" s="8"/>
    </row>
    <row r="82" spans="1:25" ht="11.25">
      <c r="A82" s="144" t="s">
        <v>329</v>
      </c>
      <c r="B82" s="14">
        <v>42766</v>
      </c>
      <c r="C82" s="144" t="s">
        <v>330</v>
      </c>
      <c r="D82" s="145">
        <v>819.9</v>
      </c>
      <c r="E82" s="152"/>
      <c r="F82" s="153"/>
      <c r="K82" s="14">
        <v>42786</v>
      </c>
      <c r="M82" s="14">
        <f t="shared" si="8"/>
        <v>42794</v>
      </c>
      <c r="N82" s="14">
        <v>42794</v>
      </c>
      <c r="O82" s="9">
        <f t="shared" si="9"/>
        <v>8</v>
      </c>
      <c r="P82" s="9">
        <f t="shared" si="10"/>
        <v>0</v>
      </c>
      <c r="Q82" s="9">
        <f t="shared" si="11"/>
        <v>8</v>
      </c>
      <c r="R82" s="9">
        <f t="shared" si="12"/>
        <v>-22</v>
      </c>
      <c r="S82" s="134">
        <v>21</v>
      </c>
      <c r="T82" s="8">
        <f t="shared" si="13"/>
        <v>0</v>
      </c>
      <c r="U82" s="8">
        <f t="shared" si="14"/>
        <v>-18037.8</v>
      </c>
      <c r="V82" s="134">
        <f t="shared" si="15"/>
        <v>121</v>
      </c>
      <c r="Y82" s="8"/>
    </row>
    <row r="83" spans="1:25" ht="11.25">
      <c r="A83" s="144" t="s">
        <v>331</v>
      </c>
      <c r="B83" s="14">
        <v>42766</v>
      </c>
      <c r="C83" s="144" t="s">
        <v>332</v>
      </c>
      <c r="D83" s="145">
        <v>1024.87</v>
      </c>
      <c r="E83" s="152"/>
      <c r="F83" s="153"/>
      <c r="K83" s="14">
        <v>42786</v>
      </c>
      <c r="M83" s="14">
        <f t="shared" si="8"/>
        <v>42794</v>
      </c>
      <c r="N83" s="14">
        <v>42794</v>
      </c>
      <c r="O83" s="9">
        <f t="shared" si="9"/>
        <v>8</v>
      </c>
      <c r="P83" s="9">
        <f t="shared" si="10"/>
        <v>0</v>
      </c>
      <c r="Q83" s="9">
        <f t="shared" si="11"/>
        <v>8</v>
      </c>
      <c r="R83" s="9">
        <f t="shared" si="12"/>
        <v>-22</v>
      </c>
      <c r="S83" s="134">
        <v>21</v>
      </c>
      <c r="T83" s="8">
        <f t="shared" si="13"/>
        <v>0</v>
      </c>
      <c r="U83" s="8">
        <f t="shared" si="14"/>
        <v>-22547.14</v>
      </c>
      <c r="V83" s="134">
        <f t="shared" si="15"/>
        <v>121</v>
      </c>
      <c r="Y83" s="8"/>
    </row>
    <row r="84" spans="1:25" ht="11.25">
      <c r="A84" s="144" t="s">
        <v>333</v>
      </c>
      <c r="B84" s="14">
        <v>42766</v>
      </c>
      <c r="C84" s="144" t="s">
        <v>334</v>
      </c>
      <c r="D84" s="145">
        <v>1108.17</v>
      </c>
      <c r="E84" s="152"/>
      <c r="F84" s="153"/>
      <c r="K84" s="14">
        <v>42766</v>
      </c>
      <c r="M84" s="14">
        <f t="shared" si="8"/>
        <v>42766</v>
      </c>
      <c r="N84" s="14">
        <v>42766</v>
      </c>
      <c r="O84" s="9">
        <f t="shared" si="9"/>
        <v>0</v>
      </c>
      <c r="P84" s="9">
        <f t="shared" si="10"/>
        <v>0</v>
      </c>
      <c r="Q84" s="9">
        <f t="shared" si="11"/>
        <v>0</v>
      </c>
      <c r="R84" s="9">
        <f t="shared" si="12"/>
        <v>-30</v>
      </c>
      <c r="S84" s="134">
        <v>29</v>
      </c>
      <c r="T84" s="8">
        <f t="shared" si="13"/>
        <v>0</v>
      </c>
      <c r="U84" s="8">
        <f t="shared" si="14"/>
        <v>-33245.100000000006</v>
      </c>
      <c r="V84" s="134">
        <f t="shared" si="15"/>
        <v>129</v>
      </c>
      <c r="Y84" s="8"/>
    </row>
    <row r="85" spans="1:25" ht="11.25">
      <c r="A85" s="144" t="s">
        <v>335</v>
      </c>
      <c r="B85" s="14">
        <v>42766</v>
      </c>
      <c r="C85" s="144" t="s">
        <v>336</v>
      </c>
      <c r="D85" s="145">
        <v>119.19</v>
      </c>
      <c r="E85" s="152"/>
      <c r="F85" s="153"/>
      <c r="K85" s="14">
        <v>42766</v>
      </c>
      <c r="M85" s="14">
        <f t="shared" si="8"/>
        <v>42766</v>
      </c>
      <c r="N85" s="14">
        <v>42766</v>
      </c>
      <c r="O85" s="9">
        <f t="shared" si="9"/>
        <v>0</v>
      </c>
      <c r="P85" s="9">
        <f t="shared" si="10"/>
        <v>0</v>
      </c>
      <c r="Q85" s="9">
        <f t="shared" si="11"/>
        <v>0</v>
      </c>
      <c r="R85" s="9">
        <f t="shared" si="12"/>
        <v>-30</v>
      </c>
      <c r="S85" s="134">
        <v>29</v>
      </c>
      <c r="T85" s="8">
        <f t="shared" si="13"/>
        <v>0</v>
      </c>
      <c r="U85" s="8">
        <f t="shared" si="14"/>
        <v>-3575.7</v>
      </c>
      <c r="V85" s="134">
        <f t="shared" si="15"/>
        <v>129</v>
      </c>
      <c r="Y85" s="8"/>
    </row>
    <row r="86" spans="1:25" ht="11.25">
      <c r="A86" s="144" t="s">
        <v>337</v>
      </c>
      <c r="B86" s="14">
        <v>42767</v>
      </c>
      <c r="C86" s="144" t="s">
        <v>338</v>
      </c>
      <c r="D86" s="145">
        <v>56.86</v>
      </c>
      <c r="E86" s="152"/>
      <c r="F86" s="153"/>
      <c r="K86" s="14">
        <v>42767</v>
      </c>
      <c r="M86" s="14">
        <f t="shared" si="8"/>
        <v>42767</v>
      </c>
      <c r="N86" s="14">
        <v>42767</v>
      </c>
      <c r="O86" s="9">
        <f t="shared" si="9"/>
        <v>0</v>
      </c>
      <c r="P86" s="9">
        <f t="shared" si="10"/>
        <v>0</v>
      </c>
      <c r="Q86" s="9">
        <f t="shared" si="11"/>
        <v>0</v>
      </c>
      <c r="R86" s="9">
        <f t="shared" si="12"/>
        <v>-30</v>
      </c>
      <c r="S86" s="134">
        <v>21</v>
      </c>
      <c r="T86" s="8">
        <f t="shared" si="13"/>
        <v>0</v>
      </c>
      <c r="U86" s="8">
        <f t="shared" si="14"/>
        <v>-1705.8</v>
      </c>
      <c r="V86" s="134">
        <f t="shared" si="15"/>
        <v>121</v>
      </c>
      <c r="Y86" s="8"/>
    </row>
    <row r="87" spans="1:25" ht="11.25">
      <c r="A87" s="144" t="s">
        <v>339</v>
      </c>
      <c r="B87" s="14">
        <v>42780</v>
      </c>
      <c r="C87" s="144" t="s">
        <v>340</v>
      </c>
      <c r="D87" s="145">
        <v>94.21</v>
      </c>
      <c r="E87" s="152"/>
      <c r="F87" s="153"/>
      <c r="K87" s="14">
        <v>42780</v>
      </c>
      <c r="M87" s="14">
        <f t="shared" si="8"/>
        <v>42780</v>
      </c>
      <c r="N87" s="14">
        <v>42780</v>
      </c>
      <c r="O87" s="9">
        <f t="shared" si="9"/>
        <v>0</v>
      </c>
      <c r="P87" s="9">
        <f t="shared" si="10"/>
        <v>0</v>
      </c>
      <c r="Q87" s="9">
        <f t="shared" si="11"/>
        <v>0</v>
      </c>
      <c r="R87" s="9">
        <f t="shared" si="12"/>
        <v>-30</v>
      </c>
      <c r="S87" s="134">
        <v>22</v>
      </c>
      <c r="T87" s="8">
        <f t="shared" si="13"/>
        <v>0</v>
      </c>
      <c r="U87" s="8">
        <f t="shared" si="14"/>
        <v>-2826.2999999999997</v>
      </c>
      <c r="V87" s="134">
        <f t="shared" si="15"/>
        <v>122</v>
      </c>
      <c r="Y87" s="8"/>
    </row>
    <row r="88" spans="1:25" ht="11.25">
      <c r="A88" s="144" t="s">
        <v>341</v>
      </c>
      <c r="B88" s="14">
        <v>42779</v>
      </c>
      <c r="C88" s="144" t="s">
        <v>342</v>
      </c>
      <c r="D88" s="145">
        <v>117.17</v>
      </c>
      <c r="E88" s="152"/>
      <c r="F88" s="153"/>
      <c r="K88" s="14">
        <v>42779</v>
      </c>
      <c r="M88" s="14">
        <f t="shared" si="8"/>
        <v>42779</v>
      </c>
      <c r="N88" s="14">
        <v>42779</v>
      </c>
      <c r="O88" s="9">
        <f t="shared" si="9"/>
        <v>0</v>
      </c>
      <c r="P88" s="9">
        <f t="shared" si="10"/>
        <v>0</v>
      </c>
      <c r="Q88" s="9">
        <f t="shared" si="11"/>
        <v>0</v>
      </c>
      <c r="R88" s="9">
        <f t="shared" si="12"/>
        <v>-30</v>
      </c>
      <c r="S88" s="134">
        <v>22</v>
      </c>
      <c r="T88" s="8">
        <f t="shared" si="13"/>
        <v>0</v>
      </c>
      <c r="U88" s="8">
        <f t="shared" si="14"/>
        <v>-3515.1</v>
      </c>
      <c r="V88" s="134">
        <f t="shared" si="15"/>
        <v>122</v>
      </c>
      <c r="Y88" s="8"/>
    </row>
    <row r="89" spans="1:25" ht="11.25">
      <c r="A89" s="144" t="s">
        <v>343</v>
      </c>
      <c r="B89" s="14">
        <v>42775</v>
      </c>
      <c r="C89" s="144" t="s">
        <v>344</v>
      </c>
      <c r="D89" s="145">
        <v>94.99</v>
      </c>
      <c r="E89" s="152"/>
      <c r="F89" s="153"/>
      <c r="K89" s="14">
        <v>42775</v>
      </c>
      <c r="M89" s="14">
        <f t="shared" si="8"/>
        <v>42775</v>
      </c>
      <c r="N89" s="14">
        <v>42775</v>
      </c>
      <c r="O89" s="9">
        <f t="shared" si="9"/>
        <v>0</v>
      </c>
      <c r="P89" s="9">
        <f t="shared" si="10"/>
        <v>0</v>
      </c>
      <c r="Q89" s="9">
        <f t="shared" si="11"/>
        <v>0</v>
      </c>
      <c r="R89" s="9">
        <f t="shared" si="12"/>
        <v>-30</v>
      </c>
      <c r="S89" s="134">
        <v>22</v>
      </c>
      <c r="T89" s="8">
        <f t="shared" si="13"/>
        <v>0</v>
      </c>
      <c r="U89" s="8">
        <f t="shared" si="14"/>
        <v>-2849.7</v>
      </c>
      <c r="V89" s="134">
        <f t="shared" si="15"/>
        <v>122</v>
      </c>
      <c r="Y89" s="8"/>
    </row>
    <row r="90" spans="1:25" ht="11.25">
      <c r="A90" s="144" t="s">
        <v>345</v>
      </c>
      <c r="B90" s="14">
        <v>42774</v>
      </c>
      <c r="C90" s="144" t="s">
        <v>346</v>
      </c>
      <c r="D90" s="145">
        <v>115.15</v>
      </c>
      <c r="E90" s="152"/>
      <c r="F90" s="153"/>
      <c r="K90" s="14">
        <v>42774</v>
      </c>
      <c r="M90" s="14">
        <f t="shared" si="8"/>
        <v>42774</v>
      </c>
      <c r="N90" s="14">
        <v>42774</v>
      </c>
      <c r="O90" s="9">
        <f t="shared" si="9"/>
        <v>0</v>
      </c>
      <c r="P90" s="9">
        <f t="shared" si="10"/>
        <v>0</v>
      </c>
      <c r="Q90" s="9">
        <f t="shared" si="11"/>
        <v>0</v>
      </c>
      <c r="R90" s="9">
        <f t="shared" si="12"/>
        <v>-30</v>
      </c>
      <c r="S90" s="134">
        <v>22</v>
      </c>
      <c r="T90" s="8">
        <f t="shared" si="13"/>
        <v>0</v>
      </c>
      <c r="U90" s="8">
        <f t="shared" si="14"/>
        <v>-3454.5</v>
      </c>
      <c r="V90" s="134">
        <f t="shared" si="15"/>
        <v>122</v>
      </c>
      <c r="Y90" s="8"/>
    </row>
    <row r="91" spans="1:25" ht="11.25">
      <c r="A91" s="144" t="s">
        <v>347</v>
      </c>
      <c r="B91" s="14">
        <v>42773</v>
      </c>
      <c r="C91" s="144" t="s">
        <v>348</v>
      </c>
      <c r="D91" s="145">
        <v>259.85</v>
      </c>
      <c r="E91" s="152"/>
      <c r="F91" s="153"/>
      <c r="K91" s="14">
        <v>42773</v>
      </c>
      <c r="M91" s="14">
        <f t="shared" si="8"/>
        <v>42773</v>
      </c>
      <c r="N91" s="14">
        <v>42773</v>
      </c>
      <c r="O91" s="9">
        <f t="shared" si="9"/>
        <v>0</v>
      </c>
      <c r="P91" s="9">
        <f t="shared" si="10"/>
        <v>0</v>
      </c>
      <c r="Q91" s="9">
        <f t="shared" si="11"/>
        <v>0</v>
      </c>
      <c r="R91" s="9">
        <f t="shared" si="12"/>
        <v>-30</v>
      </c>
      <c r="S91" s="134">
        <v>22</v>
      </c>
      <c r="T91" s="8">
        <f t="shared" si="13"/>
        <v>0</v>
      </c>
      <c r="U91" s="8">
        <f t="shared" si="14"/>
        <v>-7795.500000000001</v>
      </c>
      <c r="V91" s="134">
        <f t="shared" si="15"/>
        <v>122</v>
      </c>
      <c r="Y91" s="8"/>
    </row>
    <row r="92" spans="1:25" ht="11.25">
      <c r="A92" s="144" t="s">
        <v>349</v>
      </c>
      <c r="B92" s="14">
        <v>42772</v>
      </c>
      <c r="C92" s="144" t="s">
        <v>350</v>
      </c>
      <c r="D92" s="145">
        <v>96.42</v>
      </c>
      <c r="E92" s="152"/>
      <c r="F92" s="153"/>
      <c r="K92" s="14">
        <v>42772</v>
      </c>
      <c r="M92" s="14">
        <f t="shared" si="8"/>
        <v>42772</v>
      </c>
      <c r="N92" s="14">
        <v>42772</v>
      </c>
      <c r="O92" s="9">
        <f t="shared" si="9"/>
        <v>0</v>
      </c>
      <c r="P92" s="9">
        <f t="shared" si="10"/>
        <v>0</v>
      </c>
      <c r="Q92" s="9">
        <f t="shared" si="11"/>
        <v>0</v>
      </c>
      <c r="R92" s="9">
        <f t="shared" si="12"/>
        <v>-30</v>
      </c>
      <c r="S92" s="134">
        <v>22</v>
      </c>
      <c r="T92" s="8">
        <f t="shared" si="13"/>
        <v>0</v>
      </c>
      <c r="U92" s="8">
        <f t="shared" si="14"/>
        <v>-2892.6</v>
      </c>
      <c r="V92" s="134">
        <f t="shared" si="15"/>
        <v>122</v>
      </c>
      <c r="Y92" s="8"/>
    </row>
    <row r="93" spans="1:25" ht="11.25">
      <c r="A93" s="144" t="s">
        <v>351</v>
      </c>
      <c r="B93" s="14">
        <v>42769</v>
      </c>
      <c r="C93" s="144" t="s">
        <v>352</v>
      </c>
      <c r="D93" s="145">
        <v>153.98</v>
      </c>
      <c r="E93" s="152"/>
      <c r="F93" s="153"/>
      <c r="K93" s="14">
        <v>42769</v>
      </c>
      <c r="M93" s="14">
        <f t="shared" si="8"/>
        <v>42769</v>
      </c>
      <c r="N93" s="14">
        <v>42769</v>
      </c>
      <c r="O93" s="9">
        <f t="shared" si="9"/>
        <v>0</v>
      </c>
      <c r="P93" s="9">
        <f t="shared" si="10"/>
        <v>0</v>
      </c>
      <c r="Q93" s="9">
        <f t="shared" si="11"/>
        <v>0</v>
      </c>
      <c r="R93" s="9">
        <f t="shared" si="12"/>
        <v>-30</v>
      </c>
      <c r="S93" s="134">
        <v>22</v>
      </c>
      <c r="T93" s="8">
        <f t="shared" si="13"/>
        <v>0</v>
      </c>
      <c r="U93" s="8">
        <f t="shared" si="14"/>
        <v>-4619.4</v>
      </c>
      <c r="V93" s="134">
        <f t="shared" si="15"/>
        <v>122</v>
      </c>
      <c r="Y93" s="8"/>
    </row>
    <row r="94" spans="1:25" ht="11.25">
      <c r="A94" s="144" t="s">
        <v>353</v>
      </c>
      <c r="B94" s="14">
        <v>42768</v>
      </c>
      <c r="C94" s="144" t="s">
        <v>354</v>
      </c>
      <c r="D94" s="145">
        <v>154.97</v>
      </c>
      <c r="E94" s="152"/>
      <c r="F94" s="153"/>
      <c r="K94" s="14">
        <v>42768</v>
      </c>
      <c r="M94" s="14">
        <f t="shared" si="8"/>
        <v>42768</v>
      </c>
      <c r="N94" s="14">
        <v>42768</v>
      </c>
      <c r="O94" s="9">
        <f t="shared" si="9"/>
        <v>0</v>
      </c>
      <c r="P94" s="9">
        <f t="shared" si="10"/>
        <v>0</v>
      </c>
      <c r="Q94" s="9">
        <f t="shared" si="11"/>
        <v>0</v>
      </c>
      <c r="R94" s="9">
        <f t="shared" si="12"/>
        <v>-30</v>
      </c>
      <c r="S94" s="134">
        <v>22</v>
      </c>
      <c r="T94" s="8">
        <f t="shared" si="13"/>
        <v>0</v>
      </c>
      <c r="U94" s="8">
        <f t="shared" si="14"/>
        <v>-4649.1</v>
      </c>
      <c r="V94" s="134">
        <f t="shared" si="15"/>
        <v>122</v>
      </c>
      <c r="Y94" s="8"/>
    </row>
    <row r="95" spans="1:25" ht="11.25">
      <c r="A95" s="144" t="s">
        <v>355</v>
      </c>
      <c r="B95" s="14">
        <v>42767</v>
      </c>
      <c r="C95" s="144" t="s">
        <v>356</v>
      </c>
      <c r="D95" s="145">
        <v>155.57</v>
      </c>
      <c r="E95" s="152"/>
      <c r="F95" s="153"/>
      <c r="K95" s="14">
        <v>42767</v>
      </c>
      <c r="M95" s="14">
        <f t="shared" si="8"/>
        <v>42767</v>
      </c>
      <c r="N95" s="14">
        <v>42767</v>
      </c>
      <c r="O95" s="9">
        <f t="shared" si="9"/>
        <v>0</v>
      </c>
      <c r="P95" s="9">
        <f t="shared" si="10"/>
        <v>0</v>
      </c>
      <c r="Q95" s="9">
        <f t="shared" si="11"/>
        <v>0</v>
      </c>
      <c r="R95" s="9">
        <f t="shared" si="12"/>
        <v>-30</v>
      </c>
      <c r="S95" s="134">
        <v>22</v>
      </c>
      <c r="T95" s="8">
        <f t="shared" si="13"/>
        <v>0</v>
      </c>
      <c r="U95" s="8">
        <f t="shared" si="14"/>
        <v>-4667.099999999999</v>
      </c>
      <c r="V95" s="134">
        <f t="shared" si="15"/>
        <v>122</v>
      </c>
      <c r="Y95" s="8"/>
    </row>
    <row r="96" spans="1:25" ht="11.25">
      <c r="A96" s="144" t="s">
        <v>357</v>
      </c>
      <c r="B96" s="14">
        <v>42766</v>
      </c>
      <c r="C96" s="144" t="s">
        <v>358</v>
      </c>
      <c r="D96" s="145">
        <v>98.87</v>
      </c>
      <c r="E96" s="152"/>
      <c r="F96" s="153"/>
      <c r="K96" s="14">
        <v>42766</v>
      </c>
      <c r="M96" s="14">
        <f t="shared" si="8"/>
        <v>42766</v>
      </c>
      <c r="N96" s="14">
        <v>42766</v>
      </c>
      <c r="O96" s="9">
        <f t="shared" si="9"/>
        <v>0</v>
      </c>
      <c r="P96" s="9">
        <f t="shared" si="10"/>
        <v>0</v>
      </c>
      <c r="Q96" s="9">
        <f t="shared" si="11"/>
        <v>0</v>
      </c>
      <c r="R96" s="9">
        <f t="shared" si="12"/>
        <v>-30</v>
      </c>
      <c r="S96" s="134">
        <v>22</v>
      </c>
      <c r="T96" s="8">
        <f t="shared" si="13"/>
        <v>0</v>
      </c>
      <c r="U96" s="8">
        <f t="shared" si="14"/>
        <v>-2966.1000000000004</v>
      </c>
      <c r="V96" s="134">
        <f t="shared" si="15"/>
        <v>122</v>
      </c>
      <c r="Y96" s="8"/>
    </row>
    <row r="97" spans="1:25" ht="11.25">
      <c r="A97" s="144" t="s">
        <v>359</v>
      </c>
      <c r="B97" s="14">
        <v>42776</v>
      </c>
      <c r="C97" s="144" t="s">
        <v>360</v>
      </c>
      <c r="D97" s="145">
        <v>209.9</v>
      </c>
      <c r="E97" s="152"/>
      <c r="F97" s="153"/>
      <c r="K97" s="14">
        <v>42776</v>
      </c>
      <c r="M97" s="14">
        <f t="shared" si="8"/>
        <v>42776</v>
      </c>
      <c r="N97" s="14">
        <v>42776</v>
      </c>
      <c r="O97" s="9">
        <f t="shared" si="9"/>
        <v>0</v>
      </c>
      <c r="P97" s="9">
        <f t="shared" si="10"/>
        <v>0</v>
      </c>
      <c r="Q97" s="9">
        <f t="shared" si="11"/>
        <v>0</v>
      </c>
      <c r="R97" s="9">
        <f t="shared" si="12"/>
        <v>-30</v>
      </c>
      <c r="S97" s="134">
        <v>22</v>
      </c>
      <c r="T97" s="8">
        <f t="shared" si="13"/>
        <v>0</v>
      </c>
      <c r="U97" s="8">
        <f t="shared" si="14"/>
        <v>-6297</v>
      </c>
      <c r="V97" s="134">
        <f t="shared" si="15"/>
        <v>122</v>
      </c>
      <c r="Y97" s="8"/>
    </row>
    <row r="98" spans="1:25" ht="11.25">
      <c r="A98" s="144" t="s">
        <v>361</v>
      </c>
      <c r="B98" s="14">
        <v>42794</v>
      </c>
      <c r="C98" s="144" t="s">
        <v>206</v>
      </c>
      <c r="D98" s="145">
        <v>2760</v>
      </c>
      <c r="E98" s="152"/>
      <c r="F98" s="153"/>
      <c r="K98" s="14">
        <v>42788</v>
      </c>
      <c r="M98" s="14">
        <f t="shared" si="8"/>
        <v>42794</v>
      </c>
      <c r="N98" s="14">
        <v>42794</v>
      </c>
      <c r="O98" s="9">
        <f t="shared" si="9"/>
        <v>6</v>
      </c>
      <c r="P98" s="9">
        <f t="shared" si="10"/>
        <v>0</v>
      </c>
      <c r="Q98" s="9">
        <f t="shared" si="11"/>
        <v>6</v>
      </c>
      <c r="R98" s="9">
        <f t="shared" si="12"/>
        <v>-24</v>
      </c>
      <c r="S98" s="134">
        <v>29</v>
      </c>
      <c r="T98" s="8">
        <f t="shared" si="13"/>
        <v>0</v>
      </c>
      <c r="U98" s="8">
        <f t="shared" si="14"/>
        <v>-66240</v>
      </c>
      <c r="V98" s="134">
        <f t="shared" si="15"/>
        <v>129</v>
      </c>
      <c r="Y98" s="8"/>
    </row>
    <row r="99" spans="1:25" ht="11.25">
      <c r="A99" s="144" t="s">
        <v>362</v>
      </c>
      <c r="B99" s="14">
        <v>42765</v>
      </c>
      <c r="C99" s="144" t="s">
        <v>363</v>
      </c>
      <c r="D99" s="145">
        <v>270</v>
      </c>
      <c r="E99" s="152"/>
      <c r="F99" s="153"/>
      <c r="K99" s="14">
        <v>42788</v>
      </c>
      <c r="M99" s="14">
        <f t="shared" si="8"/>
        <v>42794</v>
      </c>
      <c r="N99" s="14">
        <v>42794</v>
      </c>
      <c r="O99" s="9">
        <f t="shared" si="9"/>
        <v>6</v>
      </c>
      <c r="P99" s="9">
        <f t="shared" si="10"/>
        <v>0</v>
      </c>
      <c r="Q99" s="9">
        <f t="shared" si="11"/>
        <v>6</v>
      </c>
      <c r="R99" s="9">
        <f t="shared" si="12"/>
        <v>-24</v>
      </c>
      <c r="S99" s="134">
        <v>29</v>
      </c>
      <c r="T99" s="8">
        <f t="shared" si="13"/>
        <v>0</v>
      </c>
      <c r="U99" s="8">
        <f t="shared" si="14"/>
        <v>-6480</v>
      </c>
      <c r="V99" s="134">
        <f t="shared" si="15"/>
        <v>129</v>
      </c>
      <c r="Y99" s="8"/>
    </row>
    <row r="100" spans="1:25" ht="11.25">
      <c r="A100" s="144" t="s">
        <v>364</v>
      </c>
      <c r="B100" s="14">
        <v>42766</v>
      </c>
      <c r="C100" s="144" t="s">
        <v>365</v>
      </c>
      <c r="D100" s="145">
        <v>360</v>
      </c>
      <c r="E100" s="152"/>
      <c r="F100" s="153"/>
      <c r="K100" s="14">
        <v>42788</v>
      </c>
      <c r="M100" s="14">
        <f t="shared" si="8"/>
        <v>42794</v>
      </c>
      <c r="N100" s="14">
        <v>42794</v>
      </c>
      <c r="O100" s="9">
        <f t="shared" si="9"/>
        <v>6</v>
      </c>
      <c r="P100" s="9">
        <f t="shared" si="10"/>
        <v>0</v>
      </c>
      <c r="Q100" s="9">
        <f t="shared" si="11"/>
        <v>6</v>
      </c>
      <c r="R100" s="9">
        <f t="shared" si="12"/>
        <v>-24</v>
      </c>
      <c r="S100" s="134">
        <v>29</v>
      </c>
      <c r="T100" s="8">
        <f t="shared" si="13"/>
        <v>0</v>
      </c>
      <c r="U100" s="8">
        <f t="shared" si="14"/>
        <v>-8640</v>
      </c>
      <c r="V100" s="134">
        <f t="shared" si="15"/>
        <v>129</v>
      </c>
      <c r="Y100" s="8"/>
    </row>
    <row r="101" spans="1:25" ht="11.25">
      <c r="A101" s="144" t="s">
        <v>366</v>
      </c>
      <c r="B101" s="14">
        <v>42736</v>
      </c>
      <c r="C101" s="144" t="s">
        <v>367</v>
      </c>
      <c r="D101" s="145">
        <v>1942.74</v>
      </c>
      <c r="E101" s="152"/>
      <c r="F101" s="153"/>
      <c r="K101" s="14">
        <v>42755</v>
      </c>
      <c r="M101" s="14">
        <f t="shared" si="8"/>
        <v>42755</v>
      </c>
      <c r="N101" s="14">
        <v>42755</v>
      </c>
      <c r="O101" s="9">
        <f t="shared" si="9"/>
        <v>0</v>
      </c>
      <c r="P101" s="9">
        <f t="shared" si="10"/>
        <v>0</v>
      </c>
      <c r="Q101" s="9">
        <f t="shared" si="11"/>
        <v>0</v>
      </c>
      <c r="R101" s="9">
        <f t="shared" si="12"/>
        <v>-30</v>
      </c>
      <c r="S101" s="134">
        <v>29</v>
      </c>
      <c r="T101" s="8">
        <f t="shared" si="13"/>
        <v>0</v>
      </c>
      <c r="U101" s="8">
        <f t="shared" si="14"/>
        <v>-58282.2</v>
      </c>
      <c r="V101" s="134">
        <f t="shared" si="15"/>
        <v>129</v>
      </c>
      <c r="Y101" s="8"/>
    </row>
    <row r="102" spans="1:25" ht="11.25">
      <c r="A102" s="144" t="s">
        <v>368</v>
      </c>
      <c r="B102" s="14">
        <v>42736</v>
      </c>
      <c r="C102" s="144" t="s">
        <v>369</v>
      </c>
      <c r="D102" s="145">
        <v>252.67</v>
      </c>
      <c r="E102" s="152"/>
      <c r="F102" s="153"/>
      <c r="K102" s="14">
        <v>42745</v>
      </c>
      <c r="M102" s="14">
        <f t="shared" si="8"/>
        <v>42745</v>
      </c>
      <c r="N102" s="14">
        <v>42745</v>
      </c>
      <c r="O102" s="9">
        <f t="shared" si="9"/>
        <v>0</v>
      </c>
      <c r="P102" s="9">
        <f t="shared" si="10"/>
        <v>0</v>
      </c>
      <c r="Q102" s="9">
        <f t="shared" si="11"/>
        <v>0</v>
      </c>
      <c r="R102" s="9">
        <f t="shared" si="12"/>
        <v>-30</v>
      </c>
      <c r="S102" s="134">
        <v>29</v>
      </c>
      <c r="T102" s="8">
        <f t="shared" si="13"/>
        <v>0</v>
      </c>
      <c r="U102" s="8">
        <f t="shared" si="14"/>
        <v>-7580.099999999999</v>
      </c>
      <c r="V102" s="134">
        <f t="shared" si="15"/>
        <v>129</v>
      </c>
      <c r="Y102" s="8"/>
    </row>
    <row r="103" spans="1:25" ht="11.25">
      <c r="A103" s="144" t="s">
        <v>370</v>
      </c>
      <c r="B103" s="14">
        <v>42781</v>
      </c>
      <c r="C103" s="144" t="s">
        <v>371</v>
      </c>
      <c r="D103" s="145">
        <v>43.9</v>
      </c>
      <c r="E103" s="152"/>
      <c r="F103" s="153"/>
      <c r="K103" s="14">
        <v>42789</v>
      </c>
      <c r="M103" s="14">
        <f t="shared" si="8"/>
        <v>42789</v>
      </c>
      <c r="N103" s="14">
        <v>42789</v>
      </c>
      <c r="O103" s="9">
        <f t="shared" si="9"/>
        <v>0</v>
      </c>
      <c r="P103" s="9">
        <f t="shared" si="10"/>
        <v>0</v>
      </c>
      <c r="Q103" s="9">
        <f t="shared" si="11"/>
        <v>0</v>
      </c>
      <c r="R103" s="9">
        <f t="shared" si="12"/>
        <v>-30</v>
      </c>
      <c r="S103" s="134">
        <v>22</v>
      </c>
      <c r="T103" s="8">
        <f t="shared" si="13"/>
        <v>0</v>
      </c>
      <c r="U103" s="8">
        <f t="shared" si="14"/>
        <v>-1317</v>
      </c>
      <c r="V103" s="134">
        <f t="shared" si="15"/>
        <v>122</v>
      </c>
      <c r="Y103" s="8"/>
    </row>
    <row r="104" spans="1:25" ht="11.25">
      <c r="A104" s="144" t="s">
        <v>372</v>
      </c>
      <c r="B104" s="14">
        <v>42781</v>
      </c>
      <c r="C104" s="144" t="s">
        <v>373</v>
      </c>
      <c r="D104" s="145">
        <v>16.26</v>
      </c>
      <c r="E104" s="152"/>
      <c r="F104" s="153"/>
      <c r="K104" s="14">
        <v>42789</v>
      </c>
      <c r="M104" s="14">
        <f t="shared" si="8"/>
        <v>42789</v>
      </c>
      <c r="N104" s="14">
        <v>42789</v>
      </c>
      <c r="O104" s="9">
        <f t="shared" si="9"/>
        <v>0</v>
      </c>
      <c r="P104" s="9">
        <f t="shared" si="10"/>
        <v>0</v>
      </c>
      <c r="Q104" s="9">
        <f t="shared" si="11"/>
        <v>0</v>
      </c>
      <c r="R104" s="9">
        <f t="shared" si="12"/>
        <v>-30</v>
      </c>
      <c r="S104" s="134">
        <v>22</v>
      </c>
      <c r="T104" s="8">
        <f t="shared" si="13"/>
        <v>0</v>
      </c>
      <c r="U104" s="8">
        <f t="shared" si="14"/>
        <v>-487.80000000000007</v>
      </c>
      <c r="V104" s="134">
        <f t="shared" si="15"/>
        <v>122</v>
      </c>
      <c r="Y104" s="8"/>
    </row>
    <row r="105" spans="1:25" ht="11.25">
      <c r="A105" s="144" t="s">
        <v>374</v>
      </c>
      <c r="B105" s="14">
        <v>42781</v>
      </c>
      <c r="C105" s="144" t="s">
        <v>375</v>
      </c>
      <c r="D105" s="145">
        <v>18.34</v>
      </c>
      <c r="E105" s="152"/>
      <c r="F105" s="153"/>
      <c r="K105" s="14">
        <v>42789</v>
      </c>
      <c r="M105" s="14">
        <f t="shared" si="8"/>
        <v>42789</v>
      </c>
      <c r="N105" s="14">
        <v>42789</v>
      </c>
      <c r="O105" s="9">
        <f t="shared" si="9"/>
        <v>0</v>
      </c>
      <c r="P105" s="9">
        <f t="shared" si="10"/>
        <v>0</v>
      </c>
      <c r="Q105" s="9">
        <f t="shared" si="11"/>
        <v>0</v>
      </c>
      <c r="R105" s="9">
        <f t="shared" si="12"/>
        <v>-30</v>
      </c>
      <c r="S105" s="134">
        <v>22</v>
      </c>
      <c r="T105" s="8">
        <f t="shared" si="13"/>
        <v>0</v>
      </c>
      <c r="U105" s="8">
        <f t="shared" si="14"/>
        <v>-550.2</v>
      </c>
      <c r="V105" s="134">
        <f t="shared" si="15"/>
        <v>122</v>
      </c>
      <c r="Y105" s="8"/>
    </row>
    <row r="106" spans="1:25" ht="11.25">
      <c r="A106" s="144" t="s">
        <v>376</v>
      </c>
      <c r="B106" s="14">
        <v>42780</v>
      </c>
      <c r="C106" s="144" t="s">
        <v>377</v>
      </c>
      <c r="D106" s="145">
        <v>412.72</v>
      </c>
      <c r="E106" s="152"/>
      <c r="F106" s="153"/>
      <c r="K106" s="14">
        <v>42782</v>
      </c>
      <c r="M106" s="14">
        <f t="shared" si="8"/>
        <v>42782</v>
      </c>
      <c r="N106" s="14">
        <v>42782</v>
      </c>
      <c r="O106" s="9">
        <f t="shared" si="9"/>
        <v>0</v>
      </c>
      <c r="P106" s="9">
        <f t="shared" si="10"/>
        <v>0</v>
      </c>
      <c r="Q106" s="9">
        <f t="shared" si="11"/>
        <v>0</v>
      </c>
      <c r="R106" s="9">
        <f t="shared" si="12"/>
        <v>-30</v>
      </c>
      <c r="S106" s="134">
        <v>22</v>
      </c>
      <c r="T106" s="8">
        <f t="shared" si="13"/>
        <v>0</v>
      </c>
      <c r="U106" s="8">
        <f t="shared" si="14"/>
        <v>-12381.6</v>
      </c>
      <c r="V106" s="134">
        <f t="shared" si="15"/>
        <v>122</v>
      </c>
      <c r="Y106" s="8"/>
    </row>
    <row r="107" spans="1:25" ht="11.25">
      <c r="A107" s="144" t="s">
        <v>378</v>
      </c>
      <c r="B107" s="14">
        <v>42781</v>
      </c>
      <c r="C107" s="144" t="s">
        <v>379</v>
      </c>
      <c r="D107" s="145">
        <v>33.11</v>
      </c>
      <c r="E107" s="152"/>
      <c r="F107" s="153"/>
      <c r="K107" s="14">
        <v>42789</v>
      </c>
      <c r="M107" s="14">
        <f t="shared" si="8"/>
        <v>42789</v>
      </c>
      <c r="N107" s="14">
        <v>42789</v>
      </c>
      <c r="O107" s="9">
        <f t="shared" si="9"/>
        <v>0</v>
      </c>
      <c r="P107" s="9">
        <f t="shared" si="10"/>
        <v>0</v>
      </c>
      <c r="Q107" s="9">
        <f t="shared" si="11"/>
        <v>0</v>
      </c>
      <c r="R107" s="9">
        <f t="shared" si="12"/>
        <v>-30</v>
      </c>
      <c r="S107" s="134">
        <v>22</v>
      </c>
      <c r="T107" s="8">
        <f t="shared" si="13"/>
        <v>0</v>
      </c>
      <c r="U107" s="8">
        <f t="shared" si="14"/>
        <v>-993.3</v>
      </c>
      <c r="V107" s="134">
        <f t="shared" si="15"/>
        <v>122</v>
      </c>
      <c r="Y107" s="8"/>
    </row>
    <row r="108" spans="1:25" ht="11.25">
      <c r="A108" s="144" t="s">
        <v>380</v>
      </c>
      <c r="B108" s="14">
        <v>42766</v>
      </c>
      <c r="C108" s="144" t="s">
        <v>381</v>
      </c>
      <c r="D108" s="145">
        <v>445.53</v>
      </c>
      <c r="E108" s="152"/>
      <c r="F108" s="153"/>
      <c r="K108" s="14">
        <v>42789</v>
      </c>
      <c r="M108" s="14">
        <f t="shared" si="8"/>
        <v>42794</v>
      </c>
      <c r="N108" s="14">
        <v>42794</v>
      </c>
      <c r="O108" s="9">
        <f t="shared" si="9"/>
        <v>5</v>
      </c>
      <c r="P108" s="9">
        <f t="shared" si="10"/>
        <v>0</v>
      </c>
      <c r="Q108" s="9">
        <f t="shared" si="11"/>
        <v>5</v>
      </c>
      <c r="R108" s="9">
        <f t="shared" si="12"/>
        <v>-25</v>
      </c>
      <c r="S108" s="134">
        <v>29</v>
      </c>
      <c r="T108" s="8">
        <f t="shared" si="13"/>
        <v>0</v>
      </c>
      <c r="U108" s="8">
        <f t="shared" si="14"/>
        <v>-11138.25</v>
      </c>
      <c r="V108" s="134">
        <f t="shared" si="15"/>
        <v>129</v>
      </c>
      <c r="Y108" s="8"/>
    </row>
    <row r="109" spans="1:25" ht="11.25">
      <c r="A109" s="144" t="s">
        <v>382</v>
      </c>
      <c r="B109" s="14">
        <v>42759</v>
      </c>
      <c r="C109" s="144" t="s">
        <v>383</v>
      </c>
      <c r="D109" s="145">
        <v>151.25</v>
      </c>
      <c r="E109" s="152"/>
      <c r="F109" s="153"/>
      <c r="K109" s="14">
        <v>42789</v>
      </c>
      <c r="M109" s="14">
        <f t="shared" si="8"/>
        <v>42794</v>
      </c>
      <c r="N109" s="14">
        <v>42794</v>
      </c>
      <c r="O109" s="9">
        <f t="shared" si="9"/>
        <v>5</v>
      </c>
      <c r="P109" s="9">
        <f t="shared" si="10"/>
        <v>0</v>
      </c>
      <c r="Q109" s="9">
        <f t="shared" si="11"/>
        <v>5</v>
      </c>
      <c r="R109" s="9">
        <f t="shared" si="12"/>
        <v>-25</v>
      </c>
      <c r="S109" s="134">
        <v>21</v>
      </c>
      <c r="T109" s="8">
        <f t="shared" si="13"/>
        <v>0</v>
      </c>
      <c r="U109" s="8">
        <f t="shared" si="14"/>
        <v>-3781.25</v>
      </c>
      <c r="V109" s="134">
        <f t="shared" si="15"/>
        <v>121</v>
      </c>
      <c r="Y109" s="8"/>
    </row>
    <row r="110" spans="1:25" ht="11.25">
      <c r="A110" s="144" t="s">
        <v>384</v>
      </c>
      <c r="B110" s="14">
        <v>42761</v>
      </c>
      <c r="C110" s="144" t="s">
        <v>385</v>
      </c>
      <c r="D110" s="145">
        <v>90.15</v>
      </c>
      <c r="E110" s="152"/>
      <c r="F110" s="153"/>
      <c r="K110" s="14">
        <v>42789</v>
      </c>
      <c r="M110" s="14">
        <f t="shared" si="8"/>
        <v>42794</v>
      </c>
      <c r="N110" s="14">
        <v>42794</v>
      </c>
      <c r="O110" s="9">
        <f t="shared" si="9"/>
        <v>5</v>
      </c>
      <c r="P110" s="9">
        <f t="shared" si="10"/>
        <v>0</v>
      </c>
      <c r="Q110" s="9">
        <f t="shared" si="11"/>
        <v>5</v>
      </c>
      <c r="R110" s="9">
        <f t="shared" si="12"/>
        <v>-25</v>
      </c>
      <c r="S110" s="134">
        <v>21</v>
      </c>
      <c r="T110" s="8">
        <f t="shared" si="13"/>
        <v>0</v>
      </c>
      <c r="U110" s="8">
        <f t="shared" si="14"/>
        <v>-2253.75</v>
      </c>
      <c r="V110" s="134">
        <f t="shared" si="15"/>
        <v>121</v>
      </c>
      <c r="Y110" s="8"/>
    </row>
    <row r="111" spans="1:25" ht="11.25">
      <c r="A111" s="144" t="s">
        <v>386</v>
      </c>
      <c r="B111" s="14">
        <v>42766</v>
      </c>
      <c r="C111" s="144" t="s">
        <v>387</v>
      </c>
      <c r="D111" s="145">
        <v>100.13</v>
      </c>
      <c r="E111" s="152"/>
      <c r="F111" s="153"/>
      <c r="K111" s="14">
        <v>42789</v>
      </c>
      <c r="M111" s="14">
        <f t="shared" si="8"/>
        <v>42794</v>
      </c>
      <c r="N111" s="14">
        <v>42794</v>
      </c>
      <c r="O111" s="9">
        <f t="shared" si="9"/>
        <v>5</v>
      </c>
      <c r="P111" s="9">
        <f t="shared" si="10"/>
        <v>0</v>
      </c>
      <c r="Q111" s="9">
        <f t="shared" si="11"/>
        <v>5</v>
      </c>
      <c r="R111" s="9">
        <f t="shared" si="12"/>
        <v>-25</v>
      </c>
      <c r="S111" s="134">
        <v>21</v>
      </c>
      <c r="T111" s="8">
        <f t="shared" si="13"/>
        <v>0</v>
      </c>
      <c r="U111" s="8">
        <f t="shared" si="14"/>
        <v>-2503.25</v>
      </c>
      <c r="V111" s="134">
        <f t="shared" si="15"/>
        <v>121</v>
      </c>
      <c r="Y111" s="8"/>
    </row>
    <row r="112" spans="1:25" ht="11.25">
      <c r="A112" s="144" t="s">
        <v>388</v>
      </c>
      <c r="B112" s="14">
        <v>42781</v>
      </c>
      <c r="C112" s="144" t="s">
        <v>389</v>
      </c>
      <c r="D112" s="145">
        <v>2826.56</v>
      </c>
      <c r="E112" s="152"/>
      <c r="F112" s="153"/>
      <c r="K112" s="14">
        <v>42789</v>
      </c>
      <c r="M112" s="14">
        <f t="shared" si="8"/>
        <v>42811</v>
      </c>
      <c r="N112" s="14">
        <v>42811</v>
      </c>
      <c r="O112" s="9">
        <f t="shared" si="9"/>
        <v>22</v>
      </c>
      <c r="P112" s="9">
        <f t="shared" si="10"/>
        <v>0</v>
      </c>
      <c r="Q112" s="9">
        <f t="shared" si="11"/>
        <v>22</v>
      </c>
      <c r="R112" s="9">
        <f t="shared" si="12"/>
        <v>-8</v>
      </c>
      <c r="S112" s="134">
        <v>29</v>
      </c>
      <c r="T112" s="8">
        <f t="shared" si="13"/>
        <v>0</v>
      </c>
      <c r="U112" s="8">
        <f t="shared" si="14"/>
        <v>-22612.48</v>
      </c>
      <c r="V112" s="134">
        <f t="shared" si="15"/>
        <v>129</v>
      </c>
      <c r="Y112" s="8"/>
    </row>
    <row r="113" spans="1:25" ht="11.25">
      <c r="A113" s="144" t="s">
        <v>390</v>
      </c>
      <c r="B113" s="14">
        <v>42783</v>
      </c>
      <c r="C113" s="144" t="s">
        <v>391</v>
      </c>
      <c r="D113" s="145">
        <v>655.42</v>
      </c>
      <c r="E113" s="152"/>
      <c r="F113" s="153"/>
      <c r="K113" s="14">
        <v>42789</v>
      </c>
      <c r="M113" s="14">
        <f t="shared" si="8"/>
        <v>42790</v>
      </c>
      <c r="N113" s="14">
        <v>42790</v>
      </c>
      <c r="O113" s="9">
        <f t="shared" si="9"/>
        <v>1</v>
      </c>
      <c r="P113" s="9">
        <f t="shared" si="10"/>
        <v>0</v>
      </c>
      <c r="Q113" s="9">
        <f t="shared" si="11"/>
        <v>1</v>
      </c>
      <c r="R113" s="9">
        <f t="shared" si="12"/>
        <v>-29</v>
      </c>
      <c r="S113" s="134">
        <v>29</v>
      </c>
      <c r="T113" s="8">
        <f t="shared" si="13"/>
        <v>0</v>
      </c>
      <c r="U113" s="8">
        <f t="shared" si="14"/>
        <v>-19007.18</v>
      </c>
      <c r="V113" s="134">
        <f t="shared" si="15"/>
        <v>129</v>
      </c>
      <c r="Y113" s="8"/>
    </row>
    <row r="114" spans="1:25" ht="11.25">
      <c r="A114" s="144" t="s">
        <v>392</v>
      </c>
      <c r="B114" s="14">
        <v>42783</v>
      </c>
      <c r="C114" s="144" t="s">
        <v>393</v>
      </c>
      <c r="D114" s="145">
        <v>306.37</v>
      </c>
      <c r="E114" s="152"/>
      <c r="F114" s="153"/>
      <c r="K114" s="14">
        <v>42789</v>
      </c>
      <c r="M114" s="14">
        <f t="shared" si="8"/>
        <v>42790</v>
      </c>
      <c r="N114" s="14">
        <v>42790</v>
      </c>
      <c r="O114" s="9">
        <f t="shared" si="9"/>
        <v>1</v>
      </c>
      <c r="P114" s="9">
        <f t="shared" si="10"/>
        <v>0</v>
      </c>
      <c r="Q114" s="9">
        <f t="shared" si="11"/>
        <v>1</v>
      </c>
      <c r="R114" s="9">
        <f t="shared" si="12"/>
        <v>-29</v>
      </c>
      <c r="S114" s="134">
        <v>29</v>
      </c>
      <c r="T114" s="8">
        <f t="shared" si="13"/>
        <v>0</v>
      </c>
      <c r="U114" s="8">
        <f t="shared" si="14"/>
        <v>-8884.73</v>
      </c>
      <c r="V114" s="134">
        <f t="shared" si="15"/>
        <v>129</v>
      </c>
      <c r="Y114" s="8"/>
    </row>
    <row r="115" spans="1:25" ht="11.25">
      <c r="A115" s="144" t="s">
        <v>394</v>
      </c>
      <c r="B115" s="14">
        <v>42783</v>
      </c>
      <c r="C115" s="144" t="s">
        <v>395</v>
      </c>
      <c r="D115" s="145">
        <v>290.4</v>
      </c>
      <c r="E115" s="152"/>
      <c r="F115" s="153"/>
      <c r="K115" s="14">
        <v>42789</v>
      </c>
      <c r="M115" s="14">
        <f t="shared" si="8"/>
        <v>42790</v>
      </c>
      <c r="N115" s="14">
        <v>42790</v>
      </c>
      <c r="O115" s="9">
        <f t="shared" si="9"/>
        <v>1</v>
      </c>
      <c r="P115" s="9">
        <f t="shared" si="10"/>
        <v>0</v>
      </c>
      <c r="Q115" s="9">
        <f t="shared" si="11"/>
        <v>1</v>
      </c>
      <c r="R115" s="9">
        <f t="shared" si="12"/>
        <v>-29</v>
      </c>
      <c r="S115" s="134">
        <v>29</v>
      </c>
      <c r="T115" s="8">
        <f t="shared" si="13"/>
        <v>0</v>
      </c>
      <c r="U115" s="8">
        <f t="shared" si="14"/>
        <v>-8421.599999999999</v>
      </c>
      <c r="V115" s="134">
        <f t="shared" si="15"/>
        <v>129</v>
      </c>
      <c r="Y115" s="8"/>
    </row>
    <row r="116" spans="1:25" ht="11.25">
      <c r="A116" s="144" t="s">
        <v>396</v>
      </c>
      <c r="B116" s="14">
        <v>42765</v>
      </c>
      <c r="C116" s="144" t="s">
        <v>397</v>
      </c>
      <c r="D116" s="145">
        <v>712.69</v>
      </c>
      <c r="E116" s="152"/>
      <c r="F116" s="153"/>
      <c r="K116" s="14">
        <v>42789</v>
      </c>
      <c r="M116" s="14">
        <f t="shared" si="8"/>
        <v>42790</v>
      </c>
      <c r="N116" s="14">
        <v>42790</v>
      </c>
      <c r="O116" s="9">
        <f t="shared" si="9"/>
        <v>1</v>
      </c>
      <c r="P116" s="9">
        <f t="shared" si="10"/>
        <v>0</v>
      </c>
      <c r="Q116" s="9">
        <f t="shared" si="11"/>
        <v>1</v>
      </c>
      <c r="R116" s="9">
        <f t="shared" si="12"/>
        <v>-29</v>
      </c>
      <c r="S116" s="134">
        <v>29</v>
      </c>
      <c r="T116" s="8">
        <f t="shared" si="13"/>
        <v>0</v>
      </c>
      <c r="U116" s="8">
        <f t="shared" si="14"/>
        <v>-20668.010000000002</v>
      </c>
      <c r="V116" s="134">
        <f t="shared" si="15"/>
        <v>129</v>
      </c>
      <c r="Y116" s="8"/>
    </row>
    <row r="117" spans="1:25" ht="11.25">
      <c r="A117" s="144" t="s">
        <v>398</v>
      </c>
      <c r="B117" s="14">
        <v>42772</v>
      </c>
      <c r="C117" s="144" t="s">
        <v>399</v>
      </c>
      <c r="D117" s="145">
        <v>326.71</v>
      </c>
      <c r="E117" s="152"/>
      <c r="F117" s="153"/>
      <c r="K117" s="14">
        <v>42789</v>
      </c>
      <c r="M117" s="14">
        <f t="shared" si="8"/>
        <v>42794</v>
      </c>
      <c r="N117" s="14">
        <v>42794</v>
      </c>
      <c r="O117" s="9">
        <f t="shared" si="9"/>
        <v>5</v>
      </c>
      <c r="P117" s="9">
        <f t="shared" si="10"/>
        <v>0</v>
      </c>
      <c r="Q117" s="9">
        <f t="shared" si="11"/>
        <v>5</v>
      </c>
      <c r="R117" s="9">
        <f t="shared" si="12"/>
        <v>-25</v>
      </c>
      <c r="S117" s="134">
        <v>29</v>
      </c>
      <c r="T117" s="8">
        <f t="shared" si="13"/>
        <v>0</v>
      </c>
      <c r="U117" s="8">
        <f t="shared" si="14"/>
        <v>-8167.749999999999</v>
      </c>
      <c r="V117" s="134">
        <f t="shared" si="15"/>
        <v>129</v>
      </c>
      <c r="Y117" s="8"/>
    </row>
    <row r="118" spans="1:25" s="134" customFormat="1" ht="11.25">
      <c r="A118" s="144" t="s">
        <v>400</v>
      </c>
      <c r="B118" s="14">
        <v>42765</v>
      </c>
      <c r="C118" s="144" t="s">
        <v>401</v>
      </c>
      <c r="D118" s="145">
        <v>50.75</v>
      </c>
      <c r="E118" s="152"/>
      <c r="F118" s="153"/>
      <c r="K118" s="14">
        <v>42790</v>
      </c>
      <c r="L118" s="14"/>
      <c r="M118" s="14">
        <f t="shared" si="8"/>
        <v>42809</v>
      </c>
      <c r="N118" s="14">
        <v>42809</v>
      </c>
      <c r="O118" s="9">
        <f t="shared" si="9"/>
        <v>19</v>
      </c>
      <c r="P118" s="9">
        <f t="shared" si="10"/>
        <v>0</v>
      </c>
      <c r="Q118" s="9">
        <f t="shared" si="11"/>
        <v>19</v>
      </c>
      <c r="R118" s="9">
        <f t="shared" si="12"/>
        <v>-11</v>
      </c>
      <c r="S118" s="134">
        <v>29</v>
      </c>
      <c r="T118" s="8">
        <f t="shared" si="13"/>
        <v>0</v>
      </c>
      <c r="U118" s="8">
        <f t="shared" si="14"/>
        <v>-558.25</v>
      </c>
      <c r="V118" s="134">
        <f t="shared" si="15"/>
        <v>129</v>
      </c>
      <c r="Y118" s="8"/>
    </row>
    <row r="119" spans="1:25" s="134" customFormat="1" ht="11.25">
      <c r="A119" s="144" t="s">
        <v>402</v>
      </c>
      <c r="B119" s="14">
        <v>42766</v>
      </c>
      <c r="C119" s="144" t="s">
        <v>403</v>
      </c>
      <c r="D119" s="145">
        <v>567.09</v>
      </c>
      <c r="E119" s="152"/>
      <c r="F119" s="153"/>
      <c r="K119" s="14">
        <v>42786</v>
      </c>
      <c r="L119" s="14"/>
      <c r="M119" s="14">
        <f t="shared" si="8"/>
        <v>42786</v>
      </c>
      <c r="N119" s="14">
        <v>42786</v>
      </c>
      <c r="O119" s="9">
        <f t="shared" si="9"/>
        <v>0</v>
      </c>
      <c r="P119" s="9">
        <f t="shared" si="10"/>
        <v>0</v>
      </c>
      <c r="Q119" s="9">
        <f t="shared" si="11"/>
        <v>0</v>
      </c>
      <c r="R119" s="9">
        <f t="shared" si="12"/>
        <v>-30</v>
      </c>
      <c r="S119" s="134">
        <v>20</v>
      </c>
      <c r="T119" s="8">
        <f t="shared" si="13"/>
        <v>0</v>
      </c>
      <c r="U119" s="8">
        <f t="shared" si="14"/>
        <v>-17012.7</v>
      </c>
      <c r="V119" s="134">
        <f t="shared" si="15"/>
        <v>120</v>
      </c>
      <c r="Y119" s="8"/>
    </row>
    <row r="120" spans="1:25" s="134" customFormat="1" ht="11.25">
      <c r="A120" s="144" t="s">
        <v>404</v>
      </c>
      <c r="B120" s="14">
        <v>42776</v>
      </c>
      <c r="C120" s="144" t="s">
        <v>405</v>
      </c>
      <c r="D120" s="145">
        <v>5.89</v>
      </c>
      <c r="E120" s="152"/>
      <c r="F120" s="153"/>
      <c r="K120" s="14">
        <v>42790</v>
      </c>
      <c r="L120" s="14"/>
      <c r="M120" s="14">
        <f t="shared" si="8"/>
        <v>42807</v>
      </c>
      <c r="N120" s="14">
        <v>42807</v>
      </c>
      <c r="O120" s="9">
        <f t="shared" si="9"/>
        <v>17</v>
      </c>
      <c r="P120" s="9">
        <f t="shared" si="10"/>
        <v>0</v>
      </c>
      <c r="Q120" s="9">
        <f t="shared" si="11"/>
        <v>17</v>
      </c>
      <c r="R120" s="9">
        <f t="shared" si="12"/>
        <v>-13</v>
      </c>
      <c r="S120" s="134">
        <v>29</v>
      </c>
      <c r="T120" s="8">
        <f t="shared" si="13"/>
        <v>0</v>
      </c>
      <c r="U120" s="8">
        <f t="shared" si="14"/>
        <v>-76.57</v>
      </c>
      <c r="V120" s="134">
        <f t="shared" si="15"/>
        <v>129</v>
      </c>
      <c r="Y120" s="8"/>
    </row>
    <row r="121" spans="1:25" ht="11.25">
      <c r="A121" s="144" t="s">
        <v>406</v>
      </c>
      <c r="B121" s="14">
        <v>42780</v>
      </c>
      <c r="C121" s="144" t="s">
        <v>407</v>
      </c>
      <c r="D121" s="145">
        <v>665.74</v>
      </c>
      <c r="E121" s="152"/>
      <c r="F121" s="153"/>
      <c r="K121" s="14">
        <v>42782</v>
      </c>
      <c r="M121" s="14">
        <f t="shared" si="8"/>
        <v>42782</v>
      </c>
      <c r="N121" s="14">
        <v>42782</v>
      </c>
      <c r="O121" s="9">
        <f t="shared" si="9"/>
        <v>0</v>
      </c>
      <c r="P121" s="9">
        <f t="shared" si="10"/>
        <v>0</v>
      </c>
      <c r="Q121" s="9">
        <f t="shared" si="11"/>
        <v>0</v>
      </c>
      <c r="R121" s="9">
        <f t="shared" si="12"/>
        <v>-30</v>
      </c>
      <c r="S121" s="134">
        <v>22</v>
      </c>
      <c r="T121" s="8">
        <f t="shared" si="13"/>
        <v>0</v>
      </c>
      <c r="U121" s="8">
        <f t="shared" si="14"/>
        <v>-19972.2</v>
      </c>
      <c r="V121" s="134">
        <f t="shared" si="15"/>
        <v>122</v>
      </c>
      <c r="Y121" s="8"/>
    </row>
    <row r="122" spans="1:25" ht="11.25">
      <c r="A122" s="144" t="s">
        <v>408</v>
      </c>
      <c r="B122" s="14">
        <v>42780</v>
      </c>
      <c r="C122" s="144" t="s">
        <v>409</v>
      </c>
      <c r="D122" s="145">
        <v>1010.37</v>
      </c>
      <c r="E122" s="152"/>
      <c r="F122" s="153"/>
      <c r="K122" s="14">
        <v>42782</v>
      </c>
      <c r="M122" s="14">
        <f t="shared" si="8"/>
        <v>42782</v>
      </c>
      <c r="N122" s="14">
        <v>42782</v>
      </c>
      <c r="O122" s="9">
        <f t="shared" si="9"/>
        <v>0</v>
      </c>
      <c r="P122" s="9">
        <f t="shared" si="10"/>
        <v>0</v>
      </c>
      <c r="Q122" s="9">
        <f t="shared" si="11"/>
        <v>0</v>
      </c>
      <c r="R122" s="9">
        <f t="shared" si="12"/>
        <v>-30</v>
      </c>
      <c r="S122" s="134">
        <v>22</v>
      </c>
      <c r="T122" s="8">
        <f t="shared" si="13"/>
        <v>0</v>
      </c>
      <c r="U122" s="8">
        <f t="shared" si="14"/>
        <v>-30311.1</v>
      </c>
      <c r="V122" s="134">
        <f t="shared" si="15"/>
        <v>122</v>
      </c>
      <c r="Y122" s="8"/>
    </row>
    <row r="123" spans="1:25" ht="11.25">
      <c r="A123" s="144" t="s">
        <v>410</v>
      </c>
      <c r="B123" s="14">
        <v>42780</v>
      </c>
      <c r="C123" s="144" t="s">
        <v>411</v>
      </c>
      <c r="D123" s="145">
        <v>639.82</v>
      </c>
      <c r="E123" s="152"/>
      <c r="F123" s="153"/>
      <c r="K123" s="14">
        <v>42782</v>
      </c>
      <c r="M123" s="14">
        <f t="shared" si="8"/>
        <v>42782</v>
      </c>
      <c r="N123" s="14">
        <v>42782</v>
      </c>
      <c r="O123" s="9">
        <f t="shared" si="9"/>
        <v>0</v>
      </c>
      <c r="P123" s="9">
        <f t="shared" si="10"/>
        <v>0</v>
      </c>
      <c r="Q123" s="9">
        <f t="shared" si="11"/>
        <v>0</v>
      </c>
      <c r="R123" s="9">
        <f t="shared" si="12"/>
        <v>-30</v>
      </c>
      <c r="S123" s="134">
        <v>22</v>
      </c>
      <c r="T123" s="8">
        <f t="shared" si="13"/>
        <v>0</v>
      </c>
      <c r="U123" s="8">
        <f t="shared" si="14"/>
        <v>-19194.600000000002</v>
      </c>
      <c r="V123" s="134">
        <f t="shared" si="15"/>
        <v>122</v>
      </c>
      <c r="Y123" s="8"/>
    </row>
    <row r="124" spans="1:25" ht="11.25">
      <c r="A124" s="144" t="s">
        <v>412</v>
      </c>
      <c r="B124" s="14">
        <v>42766</v>
      </c>
      <c r="C124" s="144" t="s">
        <v>413</v>
      </c>
      <c r="D124" s="145">
        <v>593.41</v>
      </c>
      <c r="E124" s="152"/>
      <c r="F124" s="153"/>
      <c r="K124" s="14">
        <v>42790</v>
      </c>
      <c r="M124" s="14">
        <f t="shared" si="8"/>
        <v>42796</v>
      </c>
      <c r="N124" s="14">
        <v>42796</v>
      </c>
      <c r="O124" s="9">
        <f t="shared" si="9"/>
        <v>6</v>
      </c>
      <c r="P124" s="9">
        <f t="shared" si="10"/>
        <v>0</v>
      </c>
      <c r="Q124" s="9">
        <f t="shared" si="11"/>
        <v>6</v>
      </c>
      <c r="R124" s="9">
        <f t="shared" si="12"/>
        <v>-24</v>
      </c>
      <c r="S124" s="134">
        <v>22</v>
      </c>
      <c r="T124" s="8">
        <f t="shared" si="13"/>
        <v>0</v>
      </c>
      <c r="U124" s="8">
        <f t="shared" si="14"/>
        <v>-14241.84</v>
      </c>
      <c r="V124" s="134">
        <f t="shared" si="15"/>
        <v>122</v>
      </c>
      <c r="Y124" s="8"/>
    </row>
    <row r="125" spans="1:25" ht="11.25">
      <c r="A125" s="144" t="s">
        <v>414</v>
      </c>
      <c r="B125" s="14">
        <v>42775</v>
      </c>
      <c r="C125" s="144" t="s">
        <v>415</v>
      </c>
      <c r="D125" s="145">
        <v>104.06</v>
      </c>
      <c r="E125" s="152"/>
      <c r="F125" s="153"/>
      <c r="K125" s="14">
        <v>42793</v>
      </c>
      <c r="M125" s="14">
        <f t="shared" si="8"/>
        <v>42809</v>
      </c>
      <c r="N125" s="14">
        <v>42809</v>
      </c>
      <c r="O125" s="9">
        <f t="shared" si="9"/>
        <v>16</v>
      </c>
      <c r="P125" s="9">
        <f t="shared" si="10"/>
        <v>0</v>
      </c>
      <c r="Q125" s="9">
        <f t="shared" si="11"/>
        <v>16</v>
      </c>
      <c r="R125" s="9">
        <f t="shared" si="12"/>
        <v>-14</v>
      </c>
      <c r="S125" s="134">
        <v>21</v>
      </c>
      <c r="T125" s="8">
        <f t="shared" si="13"/>
        <v>0</v>
      </c>
      <c r="U125" s="8">
        <f t="shared" si="14"/>
        <v>-1456.8400000000001</v>
      </c>
      <c r="V125" s="134">
        <f t="shared" si="15"/>
        <v>121</v>
      </c>
      <c r="Y125" s="8"/>
    </row>
    <row r="126" spans="1:25" s="134" customFormat="1" ht="11.25">
      <c r="A126" s="144" t="s">
        <v>416</v>
      </c>
      <c r="B126" s="14">
        <v>42760</v>
      </c>
      <c r="C126" s="144" t="s">
        <v>417</v>
      </c>
      <c r="D126" s="145">
        <v>639.73</v>
      </c>
      <c r="E126" s="152"/>
      <c r="F126" s="153"/>
      <c r="K126" s="14">
        <v>42793</v>
      </c>
      <c r="L126" s="14"/>
      <c r="M126" s="14">
        <f t="shared" si="8"/>
        <v>42809</v>
      </c>
      <c r="N126" s="14">
        <v>42809</v>
      </c>
      <c r="O126" s="9">
        <f t="shared" si="9"/>
        <v>16</v>
      </c>
      <c r="P126" s="9">
        <f t="shared" si="10"/>
        <v>0</v>
      </c>
      <c r="Q126" s="9">
        <f t="shared" si="11"/>
        <v>16</v>
      </c>
      <c r="R126" s="9">
        <f t="shared" si="12"/>
        <v>-14</v>
      </c>
      <c r="S126" s="134">
        <v>22</v>
      </c>
      <c r="T126" s="8">
        <f t="shared" si="13"/>
        <v>0</v>
      </c>
      <c r="U126" s="8">
        <f t="shared" si="14"/>
        <v>-8956.220000000001</v>
      </c>
      <c r="V126" s="134">
        <f t="shared" si="15"/>
        <v>122</v>
      </c>
      <c r="Y126" s="8"/>
    </row>
    <row r="127" spans="1:25" ht="11.25">
      <c r="A127" s="144" t="s">
        <v>418</v>
      </c>
      <c r="B127" s="14">
        <v>42781</v>
      </c>
      <c r="C127" s="144" t="s">
        <v>419</v>
      </c>
      <c r="D127" s="145">
        <v>54.01</v>
      </c>
      <c r="E127" s="152"/>
      <c r="F127" s="153"/>
      <c r="K127" s="14">
        <v>42793</v>
      </c>
      <c r="M127" s="14">
        <f t="shared" si="8"/>
        <v>42809</v>
      </c>
      <c r="N127" s="14">
        <v>42809</v>
      </c>
      <c r="O127" s="9">
        <f t="shared" si="9"/>
        <v>16</v>
      </c>
      <c r="P127" s="9">
        <f t="shared" si="10"/>
        <v>0</v>
      </c>
      <c r="Q127" s="9">
        <f t="shared" si="11"/>
        <v>16</v>
      </c>
      <c r="R127" s="9">
        <f t="shared" si="12"/>
        <v>-14</v>
      </c>
      <c r="S127" s="134">
        <v>22</v>
      </c>
      <c r="T127" s="8">
        <f t="shared" si="13"/>
        <v>0</v>
      </c>
      <c r="U127" s="8">
        <f t="shared" si="14"/>
        <v>-756.14</v>
      </c>
      <c r="V127" s="134">
        <f t="shared" si="15"/>
        <v>122</v>
      </c>
      <c r="Y127" s="8"/>
    </row>
    <row r="128" spans="1:25" ht="11.25">
      <c r="A128" s="144" t="s">
        <v>420</v>
      </c>
      <c r="B128" s="14">
        <v>42781</v>
      </c>
      <c r="C128" s="144" t="s">
        <v>421</v>
      </c>
      <c r="D128" s="145">
        <v>106.05</v>
      </c>
      <c r="E128" s="152"/>
      <c r="F128" s="153"/>
      <c r="K128" s="14">
        <v>42781</v>
      </c>
      <c r="M128" s="14">
        <f t="shared" si="8"/>
        <v>42781</v>
      </c>
      <c r="N128" s="14">
        <v>42781</v>
      </c>
      <c r="O128" s="9">
        <f t="shared" si="9"/>
        <v>0</v>
      </c>
      <c r="P128" s="9">
        <f t="shared" si="10"/>
        <v>0</v>
      </c>
      <c r="Q128" s="9">
        <f t="shared" si="11"/>
        <v>0</v>
      </c>
      <c r="R128" s="9">
        <f t="shared" si="12"/>
        <v>-30</v>
      </c>
      <c r="S128" s="134">
        <v>22</v>
      </c>
      <c r="T128" s="8">
        <f t="shared" si="13"/>
        <v>0</v>
      </c>
      <c r="U128" s="8">
        <f t="shared" si="14"/>
        <v>-3181.5</v>
      </c>
      <c r="V128" s="134">
        <f t="shared" si="15"/>
        <v>122</v>
      </c>
      <c r="Y128" s="8"/>
    </row>
    <row r="129" spans="1:25" s="134" customFormat="1" ht="11.25">
      <c r="A129" s="144" t="s">
        <v>422</v>
      </c>
      <c r="B129" s="14">
        <v>42751</v>
      </c>
      <c r="C129" s="144" t="s">
        <v>423</v>
      </c>
      <c r="D129" s="145">
        <v>422.1</v>
      </c>
      <c r="E129" s="152"/>
      <c r="F129" s="153"/>
      <c r="K129" s="14">
        <v>42753</v>
      </c>
      <c r="L129" s="14"/>
      <c r="M129" s="14">
        <f t="shared" si="8"/>
        <v>42753</v>
      </c>
      <c r="N129" s="14">
        <v>42753</v>
      </c>
      <c r="O129" s="9">
        <f t="shared" si="9"/>
        <v>0</v>
      </c>
      <c r="P129" s="9">
        <f t="shared" si="10"/>
        <v>0</v>
      </c>
      <c r="Q129" s="9">
        <f t="shared" si="11"/>
        <v>0</v>
      </c>
      <c r="R129" s="9">
        <f t="shared" si="12"/>
        <v>-30</v>
      </c>
      <c r="S129" s="134">
        <v>22</v>
      </c>
      <c r="T129" s="8">
        <f t="shared" si="13"/>
        <v>0</v>
      </c>
      <c r="U129" s="8">
        <f t="shared" si="14"/>
        <v>-12663</v>
      </c>
      <c r="V129" s="134">
        <f t="shared" si="15"/>
        <v>122</v>
      </c>
      <c r="Y129" s="8"/>
    </row>
    <row r="130" spans="1:25" s="134" customFormat="1" ht="11.25">
      <c r="A130" s="144" t="s">
        <v>424</v>
      </c>
      <c r="B130" s="14">
        <v>42780</v>
      </c>
      <c r="C130" s="144" t="s">
        <v>425</v>
      </c>
      <c r="D130" s="145">
        <v>427.86</v>
      </c>
      <c r="E130" s="152"/>
      <c r="F130" s="153"/>
      <c r="K130" s="14">
        <v>42782</v>
      </c>
      <c r="L130" s="14"/>
      <c r="M130" s="14">
        <f t="shared" si="8"/>
        <v>42782</v>
      </c>
      <c r="N130" s="14">
        <v>42782</v>
      </c>
      <c r="O130" s="9">
        <f t="shared" si="9"/>
        <v>0</v>
      </c>
      <c r="P130" s="9">
        <f t="shared" si="10"/>
        <v>0</v>
      </c>
      <c r="Q130" s="9">
        <f t="shared" si="11"/>
        <v>0</v>
      </c>
      <c r="R130" s="9">
        <f t="shared" si="12"/>
        <v>-30</v>
      </c>
      <c r="S130" s="134">
        <v>22</v>
      </c>
      <c r="T130" s="8">
        <f t="shared" si="13"/>
        <v>0</v>
      </c>
      <c r="U130" s="8">
        <f t="shared" si="14"/>
        <v>-12835.800000000001</v>
      </c>
      <c r="V130" s="134">
        <f t="shared" si="15"/>
        <v>122</v>
      </c>
      <c r="Y130" s="8"/>
    </row>
    <row r="131" spans="1:25" s="134" customFormat="1" ht="11.25">
      <c r="A131" s="144" t="s">
        <v>426</v>
      </c>
      <c r="B131" s="14">
        <v>42767</v>
      </c>
      <c r="C131" s="144" t="s">
        <v>427</v>
      </c>
      <c r="D131" s="145">
        <v>120.87</v>
      </c>
      <c r="E131" s="152"/>
      <c r="F131" s="153"/>
      <c r="K131" s="14">
        <v>42767</v>
      </c>
      <c r="L131" s="14"/>
      <c r="M131" s="14">
        <f t="shared" si="8"/>
        <v>42767</v>
      </c>
      <c r="N131" s="14">
        <v>42767</v>
      </c>
      <c r="O131" s="9">
        <f t="shared" si="9"/>
        <v>0</v>
      </c>
      <c r="P131" s="9">
        <f t="shared" si="10"/>
        <v>0</v>
      </c>
      <c r="Q131" s="9">
        <f t="shared" si="11"/>
        <v>0</v>
      </c>
      <c r="R131" s="9">
        <f t="shared" si="12"/>
        <v>-30</v>
      </c>
      <c r="S131" s="134">
        <v>29</v>
      </c>
      <c r="T131" s="8">
        <f t="shared" si="13"/>
        <v>0</v>
      </c>
      <c r="U131" s="8">
        <f t="shared" si="14"/>
        <v>-3626.1000000000004</v>
      </c>
      <c r="V131" s="134">
        <f t="shared" si="15"/>
        <v>129</v>
      </c>
      <c r="Y131" s="8"/>
    </row>
    <row r="132" spans="1:25" s="134" customFormat="1" ht="11.25">
      <c r="A132" s="144" t="s">
        <v>428</v>
      </c>
      <c r="B132" s="14">
        <v>42754</v>
      </c>
      <c r="C132" s="144" t="s">
        <v>429</v>
      </c>
      <c r="D132" s="145">
        <v>49.33</v>
      </c>
      <c r="E132" s="152"/>
      <c r="F132" s="153"/>
      <c r="K132" s="14">
        <v>42754</v>
      </c>
      <c r="L132" s="14"/>
      <c r="M132" s="14">
        <f t="shared" si="8"/>
        <v>42754</v>
      </c>
      <c r="N132" s="14">
        <v>42754</v>
      </c>
      <c r="O132" s="9">
        <f t="shared" si="9"/>
        <v>0</v>
      </c>
      <c r="P132" s="9">
        <f t="shared" si="10"/>
        <v>0</v>
      </c>
      <c r="Q132" s="9">
        <f t="shared" si="11"/>
        <v>0</v>
      </c>
      <c r="R132" s="9">
        <f t="shared" si="12"/>
        <v>-30</v>
      </c>
      <c r="S132" s="134">
        <v>29</v>
      </c>
      <c r="T132" s="8">
        <f t="shared" si="13"/>
        <v>0</v>
      </c>
      <c r="U132" s="8">
        <f t="shared" si="14"/>
        <v>-1479.8999999999999</v>
      </c>
      <c r="V132" s="134">
        <f t="shared" si="15"/>
        <v>129</v>
      </c>
      <c r="Y132" s="8"/>
    </row>
    <row r="133" spans="1:25" s="134" customFormat="1" ht="11.25">
      <c r="A133" s="144" t="s">
        <v>430</v>
      </c>
      <c r="B133" s="14">
        <v>42785</v>
      </c>
      <c r="C133" s="144" t="s">
        <v>431</v>
      </c>
      <c r="D133" s="145">
        <v>58.4</v>
      </c>
      <c r="E133" s="152"/>
      <c r="F133" s="153"/>
      <c r="K133" s="14">
        <v>42786</v>
      </c>
      <c r="L133" s="14"/>
      <c r="M133" s="14">
        <f t="shared" si="8"/>
        <v>42786</v>
      </c>
      <c r="N133" s="14">
        <v>42786</v>
      </c>
      <c r="O133" s="9">
        <f t="shared" si="9"/>
        <v>0</v>
      </c>
      <c r="P133" s="9">
        <f t="shared" si="10"/>
        <v>0</v>
      </c>
      <c r="Q133" s="9">
        <f t="shared" si="11"/>
        <v>0</v>
      </c>
      <c r="R133" s="9">
        <f t="shared" si="12"/>
        <v>-30</v>
      </c>
      <c r="S133" s="134">
        <v>29</v>
      </c>
      <c r="T133" s="8">
        <f t="shared" si="13"/>
        <v>0</v>
      </c>
      <c r="U133" s="8">
        <f t="shared" si="14"/>
        <v>-1752</v>
      </c>
      <c r="V133" s="134">
        <f t="shared" si="15"/>
        <v>129</v>
      </c>
      <c r="Y133" s="8"/>
    </row>
    <row r="134" spans="1:25" s="134" customFormat="1" ht="11.25">
      <c r="A134" s="144" t="s">
        <v>432</v>
      </c>
      <c r="B134" s="14">
        <v>42758</v>
      </c>
      <c r="C134" s="144" t="s">
        <v>433</v>
      </c>
      <c r="D134" s="145">
        <v>75.07</v>
      </c>
      <c r="E134" s="152"/>
      <c r="F134" s="153"/>
      <c r="K134" s="14">
        <v>42762</v>
      </c>
      <c r="L134" s="14"/>
      <c r="M134" s="14">
        <f aca="true" t="shared" si="16" ref="M134:M197">+N134</f>
        <v>42762</v>
      </c>
      <c r="N134" s="14">
        <v>42762</v>
      </c>
      <c r="O134" s="9">
        <f aca="true" t="shared" si="17" ref="O134:O197">+M134-K134</f>
        <v>0</v>
      </c>
      <c r="P134" s="9">
        <f aca="true" t="shared" si="18" ref="P134:P197">+N134-M134</f>
        <v>0</v>
      </c>
      <c r="Q134" s="9">
        <f aca="true" t="shared" si="19" ref="Q134:Q197">+N134-K134</f>
        <v>0</v>
      </c>
      <c r="R134" s="9">
        <f aca="true" t="shared" si="20" ref="R134:R197">+Q134-30</f>
        <v>-30</v>
      </c>
      <c r="S134" s="134">
        <v>29</v>
      </c>
      <c r="T134" s="8">
        <f aca="true" t="shared" si="21" ref="T134:T197">+P134*D134</f>
        <v>0</v>
      </c>
      <c r="U134" s="8">
        <f t="shared" si="14"/>
        <v>-2252.1</v>
      </c>
      <c r="V134" s="134">
        <f t="shared" si="15"/>
        <v>129</v>
      </c>
      <c r="Y134" s="8"/>
    </row>
    <row r="135" spans="1:25" s="134" customFormat="1" ht="11.25">
      <c r="A135" s="144" t="s">
        <v>434</v>
      </c>
      <c r="B135" s="14">
        <v>42758</v>
      </c>
      <c r="C135" s="144" t="s">
        <v>435</v>
      </c>
      <c r="D135" s="145">
        <v>72.65</v>
      </c>
      <c r="E135" s="152"/>
      <c r="F135" s="153"/>
      <c r="K135" s="14">
        <v>42762</v>
      </c>
      <c r="L135" s="14"/>
      <c r="M135" s="14">
        <f t="shared" si="16"/>
        <v>42762</v>
      </c>
      <c r="N135" s="14">
        <v>42762</v>
      </c>
      <c r="O135" s="9">
        <f t="shared" si="17"/>
        <v>0</v>
      </c>
      <c r="P135" s="9">
        <f t="shared" si="18"/>
        <v>0</v>
      </c>
      <c r="Q135" s="9">
        <f t="shared" si="19"/>
        <v>0</v>
      </c>
      <c r="R135" s="9">
        <f t="shared" si="20"/>
        <v>-30</v>
      </c>
      <c r="S135" s="134">
        <v>29</v>
      </c>
      <c r="T135" s="8">
        <f t="shared" si="21"/>
        <v>0</v>
      </c>
      <c r="U135" s="8">
        <f aca="true" t="shared" si="22" ref="U135:U198">+R135*D135</f>
        <v>-2179.5</v>
      </c>
      <c r="V135" s="134">
        <f aca="true" t="shared" si="23" ref="V135:V198">IF(P135&gt;30,200+S135,100+S135)</f>
        <v>129</v>
      </c>
      <c r="Y135" s="8"/>
    </row>
    <row r="136" spans="1:25" ht="11.25">
      <c r="A136" s="144" t="s">
        <v>436</v>
      </c>
      <c r="B136" s="14">
        <v>42758</v>
      </c>
      <c r="C136" s="144" t="s">
        <v>437</v>
      </c>
      <c r="D136" s="145">
        <v>1077.65</v>
      </c>
      <c r="E136" s="152"/>
      <c r="F136" s="153"/>
      <c r="K136" s="14">
        <v>42762</v>
      </c>
      <c r="M136" s="14">
        <f t="shared" si="16"/>
        <v>42762</v>
      </c>
      <c r="N136" s="14">
        <v>42762</v>
      </c>
      <c r="O136" s="9">
        <f t="shared" si="17"/>
        <v>0</v>
      </c>
      <c r="P136" s="9">
        <f t="shared" si="18"/>
        <v>0</v>
      </c>
      <c r="Q136" s="9">
        <f t="shared" si="19"/>
        <v>0</v>
      </c>
      <c r="R136" s="9">
        <f t="shared" si="20"/>
        <v>-30</v>
      </c>
      <c r="S136" s="134">
        <v>29</v>
      </c>
      <c r="T136" s="8">
        <f t="shared" si="21"/>
        <v>0</v>
      </c>
      <c r="U136" s="8">
        <f t="shared" si="22"/>
        <v>-32329.500000000004</v>
      </c>
      <c r="V136" s="134">
        <f t="shared" si="23"/>
        <v>129</v>
      </c>
      <c r="Y136" s="8"/>
    </row>
    <row r="137" spans="1:25" ht="11.25">
      <c r="A137" s="144" t="s">
        <v>438</v>
      </c>
      <c r="B137" s="14">
        <v>42758</v>
      </c>
      <c r="C137" s="144" t="s">
        <v>439</v>
      </c>
      <c r="D137" s="145">
        <v>525.02</v>
      </c>
      <c r="E137" s="152"/>
      <c r="F137" s="153"/>
      <c r="K137" s="14">
        <v>42762</v>
      </c>
      <c r="M137" s="14">
        <f t="shared" si="16"/>
        <v>42762</v>
      </c>
      <c r="N137" s="14">
        <v>42762</v>
      </c>
      <c r="O137" s="9">
        <f t="shared" si="17"/>
        <v>0</v>
      </c>
      <c r="P137" s="9">
        <f t="shared" si="18"/>
        <v>0</v>
      </c>
      <c r="Q137" s="9">
        <f t="shared" si="19"/>
        <v>0</v>
      </c>
      <c r="R137" s="9">
        <f t="shared" si="20"/>
        <v>-30</v>
      </c>
      <c r="S137" s="134">
        <v>29</v>
      </c>
      <c r="T137" s="8">
        <f t="shared" si="21"/>
        <v>0</v>
      </c>
      <c r="U137" s="8">
        <f t="shared" si="22"/>
        <v>-15750.599999999999</v>
      </c>
      <c r="V137" s="134">
        <f t="shared" si="23"/>
        <v>129</v>
      </c>
      <c r="Y137" s="8"/>
    </row>
    <row r="138" spans="1:25" ht="11.25">
      <c r="A138" s="144" t="s">
        <v>440</v>
      </c>
      <c r="B138" s="14">
        <v>42789</v>
      </c>
      <c r="C138" s="144" t="s">
        <v>441</v>
      </c>
      <c r="D138" s="145">
        <v>75.07</v>
      </c>
      <c r="E138" s="152"/>
      <c r="F138" s="153"/>
      <c r="K138" s="14">
        <v>42793</v>
      </c>
      <c r="M138" s="14">
        <f t="shared" si="16"/>
        <v>42793</v>
      </c>
      <c r="N138" s="14">
        <v>42793</v>
      </c>
      <c r="O138" s="9">
        <f t="shared" si="17"/>
        <v>0</v>
      </c>
      <c r="P138" s="9">
        <f t="shared" si="18"/>
        <v>0</v>
      </c>
      <c r="Q138" s="9">
        <f t="shared" si="19"/>
        <v>0</v>
      </c>
      <c r="R138" s="9">
        <f t="shared" si="20"/>
        <v>-30</v>
      </c>
      <c r="S138" s="134">
        <v>29</v>
      </c>
      <c r="T138" s="8">
        <f t="shared" si="21"/>
        <v>0</v>
      </c>
      <c r="U138" s="8">
        <f t="shared" si="22"/>
        <v>-2252.1</v>
      </c>
      <c r="V138" s="134">
        <f t="shared" si="23"/>
        <v>129</v>
      </c>
      <c r="Y138" s="8"/>
    </row>
    <row r="139" spans="1:25" ht="11.25">
      <c r="A139" s="144" t="s">
        <v>442</v>
      </c>
      <c r="B139" s="14">
        <v>42789</v>
      </c>
      <c r="C139" s="144" t="s">
        <v>443</v>
      </c>
      <c r="D139" s="145">
        <v>72.65</v>
      </c>
      <c r="E139" s="152"/>
      <c r="F139" s="153"/>
      <c r="K139" s="14">
        <v>42793</v>
      </c>
      <c r="M139" s="14">
        <f t="shared" si="16"/>
        <v>42793</v>
      </c>
      <c r="N139" s="14">
        <v>42793</v>
      </c>
      <c r="O139" s="9">
        <f t="shared" si="17"/>
        <v>0</v>
      </c>
      <c r="P139" s="9">
        <f t="shared" si="18"/>
        <v>0</v>
      </c>
      <c r="Q139" s="9">
        <f t="shared" si="19"/>
        <v>0</v>
      </c>
      <c r="R139" s="9">
        <f t="shared" si="20"/>
        <v>-30</v>
      </c>
      <c r="S139" s="134">
        <v>29</v>
      </c>
      <c r="T139" s="8">
        <f t="shared" si="21"/>
        <v>0</v>
      </c>
      <c r="U139" s="8">
        <f t="shared" si="22"/>
        <v>-2179.5</v>
      </c>
      <c r="V139" s="134">
        <f t="shared" si="23"/>
        <v>129</v>
      </c>
      <c r="Y139" s="8"/>
    </row>
    <row r="140" spans="1:25" ht="11.25">
      <c r="A140" s="144" t="s">
        <v>444</v>
      </c>
      <c r="B140" s="14">
        <v>42789</v>
      </c>
      <c r="C140" s="144" t="s">
        <v>445</v>
      </c>
      <c r="D140" s="145">
        <v>1115.61</v>
      </c>
      <c r="E140" s="152"/>
      <c r="F140" s="153"/>
      <c r="K140" s="14">
        <v>42793</v>
      </c>
      <c r="M140" s="14">
        <f t="shared" si="16"/>
        <v>42793</v>
      </c>
      <c r="N140" s="14">
        <v>42793</v>
      </c>
      <c r="O140" s="9">
        <f t="shared" si="17"/>
        <v>0</v>
      </c>
      <c r="P140" s="9">
        <f t="shared" si="18"/>
        <v>0</v>
      </c>
      <c r="Q140" s="9">
        <f t="shared" si="19"/>
        <v>0</v>
      </c>
      <c r="R140" s="9">
        <f t="shared" si="20"/>
        <v>-30</v>
      </c>
      <c r="S140" s="134">
        <v>29</v>
      </c>
      <c r="T140" s="8">
        <f t="shared" si="21"/>
        <v>0</v>
      </c>
      <c r="U140" s="8">
        <f t="shared" si="22"/>
        <v>-33468.299999999996</v>
      </c>
      <c r="V140" s="134">
        <f t="shared" si="23"/>
        <v>129</v>
      </c>
      <c r="Y140" s="8"/>
    </row>
    <row r="141" spans="1:25" ht="11.25">
      <c r="A141" s="144" t="s">
        <v>446</v>
      </c>
      <c r="B141" s="14">
        <v>42789</v>
      </c>
      <c r="C141" s="144" t="s">
        <v>447</v>
      </c>
      <c r="D141" s="145">
        <v>627.75</v>
      </c>
      <c r="E141" s="152"/>
      <c r="F141" s="153"/>
      <c r="K141" s="14">
        <v>42793</v>
      </c>
      <c r="M141" s="14">
        <f t="shared" si="16"/>
        <v>42793</v>
      </c>
      <c r="N141" s="14">
        <v>42793</v>
      </c>
      <c r="O141" s="9">
        <f t="shared" si="17"/>
        <v>0</v>
      </c>
      <c r="P141" s="9">
        <f t="shared" si="18"/>
        <v>0</v>
      </c>
      <c r="Q141" s="9">
        <f t="shared" si="19"/>
        <v>0</v>
      </c>
      <c r="R141" s="9">
        <f t="shared" si="20"/>
        <v>-30</v>
      </c>
      <c r="S141" s="134">
        <v>29</v>
      </c>
      <c r="T141" s="8">
        <f t="shared" si="21"/>
        <v>0</v>
      </c>
      <c r="U141" s="8">
        <f t="shared" si="22"/>
        <v>-18832.5</v>
      </c>
      <c r="V141" s="134">
        <f t="shared" si="23"/>
        <v>129</v>
      </c>
      <c r="Y141" s="8"/>
    </row>
    <row r="142" spans="1:25" ht="11.25">
      <c r="A142" s="144" t="s">
        <v>448</v>
      </c>
      <c r="B142" s="14">
        <v>42767</v>
      </c>
      <c r="C142" s="144" t="s">
        <v>449</v>
      </c>
      <c r="D142" s="145">
        <v>6.05</v>
      </c>
      <c r="E142" s="152"/>
      <c r="F142" s="153"/>
      <c r="K142" s="14">
        <v>42769</v>
      </c>
      <c r="M142" s="14">
        <f t="shared" si="16"/>
        <v>42769</v>
      </c>
      <c r="N142" s="14">
        <v>42769</v>
      </c>
      <c r="O142" s="9">
        <f t="shared" si="17"/>
        <v>0</v>
      </c>
      <c r="P142" s="9">
        <f t="shared" si="18"/>
        <v>0</v>
      </c>
      <c r="Q142" s="9">
        <f t="shared" si="19"/>
        <v>0</v>
      </c>
      <c r="R142" s="9">
        <f t="shared" si="20"/>
        <v>-30</v>
      </c>
      <c r="S142" s="134">
        <v>21</v>
      </c>
      <c r="T142" s="8">
        <f t="shared" si="21"/>
        <v>0</v>
      </c>
      <c r="U142" s="8">
        <f t="shared" si="22"/>
        <v>-181.5</v>
      </c>
      <c r="V142" s="134">
        <f t="shared" si="23"/>
        <v>121</v>
      </c>
      <c r="Y142" s="8"/>
    </row>
    <row r="143" spans="1:25" ht="11.25">
      <c r="A143" s="144" t="s">
        <v>450</v>
      </c>
      <c r="B143" s="14">
        <v>42747</v>
      </c>
      <c r="C143" s="144" t="s">
        <v>451</v>
      </c>
      <c r="D143" s="145">
        <v>2.42</v>
      </c>
      <c r="E143" s="152"/>
      <c r="F143" s="153"/>
      <c r="K143" s="14">
        <v>42751</v>
      </c>
      <c r="M143" s="14">
        <f t="shared" si="16"/>
        <v>42751</v>
      </c>
      <c r="N143" s="14">
        <v>42751</v>
      </c>
      <c r="O143" s="9">
        <f t="shared" si="17"/>
        <v>0</v>
      </c>
      <c r="P143" s="9">
        <f t="shared" si="18"/>
        <v>0</v>
      </c>
      <c r="Q143" s="9">
        <f t="shared" si="19"/>
        <v>0</v>
      </c>
      <c r="R143" s="9">
        <f t="shared" si="20"/>
        <v>-30</v>
      </c>
      <c r="S143" s="134">
        <v>21</v>
      </c>
      <c r="T143" s="8">
        <f t="shared" si="21"/>
        <v>0</v>
      </c>
      <c r="U143" s="8">
        <f t="shared" si="22"/>
        <v>-72.6</v>
      </c>
      <c r="V143" s="134">
        <f t="shared" si="23"/>
        <v>121</v>
      </c>
      <c r="Y143" s="8"/>
    </row>
    <row r="144" spans="1:25" ht="11.25">
      <c r="A144" s="144" t="s">
        <v>452</v>
      </c>
      <c r="B144" s="14">
        <v>42754</v>
      </c>
      <c r="C144" s="144" t="s">
        <v>453</v>
      </c>
      <c r="D144" s="145">
        <v>10.89</v>
      </c>
      <c r="E144" s="152"/>
      <c r="F144" s="153"/>
      <c r="K144" s="14">
        <v>42758</v>
      </c>
      <c r="M144" s="14">
        <f t="shared" si="16"/>
        <v>42758</v>
      </c>
      <c r="N144" s="14">
        <v>42758</v>
      </c>
      <c r="O144" s="9">
        <f t="shared" si="17"/>
        <v>0</v>
      </c>
      <c r="P144" s="9">
        <f t="shared" si="18"/>
        <v>0</v>
      </c>
      <c r="Q144" s="9">
        <f t="shared" si="19"/>
        <v>0</v>
      </c>
      <c r="R144" s="9">
        <f t="shared" si="20"/>
        <v>-30</v>
      </c>
      <c r="S144" s="134">
        <v>21</v>
      </c>
      <c r="T144" s="8">
        <f t="shared" si="21"/>
        <v>0</v>
      </c>
      <c r="U144" s="8">
        <f t="shared" si="22"/>
        <v>-326.70000000000005</v>
      </c>
      <c r="V144" s="134">
        <f t="shared" si="23"/>
        <v>121</v>
      </c>
      <c r="Y144" s="8"/>
    </row>
    <row r="145" spans="1:25" ht="11.25">
      <c r="A145" s="144" t="s">
        <v>454</v>
      </c>
      <c r="B145" s="14">
        <v>42767</v>
      </c>
      <c r="C145" s="144" t="s">
        <v>455</v>
      </c>
      <c r="D145" s="145">
        <v>217.8</v>
      </c>
      <c r="E145" s="152"/>
      <c r="F145" s="153"/>
      <c r="K145" s="14">
        <v>42772</v>
      </c>
      <c r="M145" s="14">
        <f t="shared" si="16"/>
        <v>42772</v>
      </c>
      <c r="N145" s="14">
        <v>42772</v>
      </c>
      <c r="O145" s="9">
        <f t="shared" si="17"/>
        <v>0</v>
      </c>
      <c r="P145" s="9">
        <f t="shared" si="18"/>
        <v>0</v>
      </c>
      <c r="Q145" s="9">
        <f t="shared" si="19"/>
        <v>0</v>
      </c>
      <c r="R145" s="9">
        <f t="shared" si="20"/>
        <v>-30</v>
      </c>
      <c r="S145" s="134">
        <v>21</v>
      </c>
      <c r="T145" s="8">
        <f t="shared" si="21"/>
        <v>0</v>
      </c>
      <c r="U145" s="8">
        <f t="shared" si="22"/>
        <v>-6534</v>
      </c>
      <c r="V145" s="134">
        <f t="shared" si="23"/>
        <v>121</v>
      </c>
      <c r="Y145" s="8"/>
    </row>
    <row r="146" spans="1:25" ht="11.25">
      <c r="A146" s="144" t="s">
        <v>456</v>
      </c>
      <c r="B146" s="14">
        <v>42794</v>
      </c>
      <c r="C146" s="144" t="s">
        <v>336</v>
      </c>
      <c r="D146" s="145">
        <v>363</v>
      </c>
      <c r="E146" s="152"/>
      <c r="F146" s="153"/>
      <c r="K146" s="14">
        <v>42800</v>
      </c>
      <c r="M146" s="14">
        <f t="shared" si="16"/>
        <v>42809</v>
      </c>
      <c r="N146" s="14">
        <v>42809</v>
      </c>
      <c r="O146" s="9">
        <f t="shared" si="17"/>
        <v>9</v>
      </c>
      <c r="P146" s="9">
        <f t="shared" si="18"/>
        <v>0</v>
      </c>
      <c r="Q146" s="9">
        <f t="shared" si="19"/>
        <v>9</v>
      </c>
      <c r="R146" s="9">
        <f t="shared" si="20"/>
        <v>-21</v>
      </c>
      <c r="S146" s="134">
        <v>29</v>
      </c>
      <c r="T146" s="8">
        <f t="shared" si="21"/>
        <v>0</v>
      </c>
      <c r="U146" s="8">
        <f t="shared" si="22"/>
        <v>-7623</v>
      </c>
      <c r="V146" s="134">
        <f t="shared" si="23"/>
        <v>129</v>
      </c>
      <c r="Y146" s="8"/>
    </row>
    <row r="147" spans="1:25" s="134" customFormat="1" ht="11.25">
      <c r="A147" s="144" t="s">
        <v>457</v>
      </c>
      <c r="B147" s="14">
        <v>42794</v>
      </c>
      <c r="C147" s="144" t="s">
        <v>458</v>
      </c>
      <c r="D147" s="145">
        <v>655.42</v>
      </c>
      <c r="E147" s="152"/>
      <c r="F147" s="153"/>
      <c r="K147" s="14">
        <v>42800</v>
      </c>
      <c r="L147" s="14"/>
      <c r="M147" s="14">
        <f t="shared" si="16"/>
        <v>42809</v>
      </c>
      <c r="N147" s="14">
        <v>42809</v>
      </c>
      <c r="O147" s="9">
        <f t="shared" si="17"/>
        <v>9</v>
      </c>
      <c r="P147" s="9">
        <f t="shared" si="18"/>
        <v>0</v>
      </c>
      <c r="Q147" s="9">
        <f t="shared" si="19"/>
        <v>9</v>
      </c>
      <c r="R147" s="9">
        <f t="shared" si="20"/>
        <v>-21</v>
      </c>
      <c r="S147" s="134">
        <v>29</v>
      </c>
      <c r="T147" s="8">
        <f t="shared" si="21"/>
        <v>0</v>
      </c>
      <c r="U147" s="8">
        <f t="shared" si="22"/>
        <v>-13763.82</v>
      </c>
      <c r="V147" s="134">
        <f t="shared" si="23"/>
        <v>129</v>
      </c>
      <c r="Y147" s="8"/>
    </row>
    <row r="148" spans="1:25" s="134" customFormat="1" ht="11.25">
      <c r="A148" s="144" t="s">
        <v>459</v>
      </c>
      <c r="B148" s="14">
        <v>42795</v>
      </c>
      <c r="C148" s="144" t="s">
        <v>460</v>
      </c>
      <c r="D148" s="145">
        <v>90.02</v>
      </c>
      <c r="E148" s="152"/>
      <c r="F148" s="153"/>
      <c r="K148" s="14">
        <v>42800</v>
      </c>
      <c r="L148" s="14"/>
      <c r="M148" s="14">
        <f t="shared" si="16"/>
        <v>42809</v>
      </c>
      <c r="N148" s="14">
        <v>42809</v>
      </c>
      <c r="O148" s="9">
        <f t="shared" si="17"/>
        <v>9</v>
      </c>
      <c r="P148" s="9">
        <f t="shared" si="18"/>
        <v>0</v>
      </c>
      <c r="Q148" s="9">
        <f t="shared" si="19"/>
        <v>9</v>
      </c>
      <c r="R148" s="9">
        <f t="shared" si="20"/>
        <v>-21</v>
      </c>
      <c r="S148" s="134">
        <v>22</v>
      </c>
      <c r="T148" s="8">
        <f t="shared" si="21"/>
        <v>0</v>
      </c>
      <c r="U148" s="8">
        <f t="shared" si="22"/>
        <v>-1890.4199999999998</v>
      </c>
      <c r="V148" s="134">
        <f t="shared" si="23"/>
        <v>122</v>
      </c>
      <c r="Y148" s="8"/>
    </row>
    <row r="149" spans="1:25" ht="11.25">
      <c r="A149" s="144" t="s">
        <v>461</v>
      </c>
      <c r="B149" s="14">
        <v>42779</v>
      </c>
      <c r="C149" s="144" t="s">
        <v>462</v>
      </c>
      <c r="D149" s="145">
        <v>108.91</v>
      </c>
      <c r="E149" s="152"/>
      <c r="F149" s="153"/>
      <c r="K149" s="14">
        <v>42800</v>
      </c>
      <c r="M149" s="14">
        <f t="shared" si="16"/>
        <v>42809</v>
      </c>
      <c r="N149" s="14">
        <v>42809</v>
      </c>
      <c r="O149" s="9">
        <f t="shared" si="17"/>
        <v>9</v>
      </c>
      <c r="P149" s="9">
        <f t="shared" si="18"/>
        <v>0</v>
      </c>
      <c r="Q149" s="9">
        <f t="shared" si="19"/>
        <v>9</v>
      </c>
      <c r="R149" s="9">
        <f t="shared" si="20"/>
        <v>-21</v>
      </c>
      <c r="S149" s="134">
        <v>22</v>
      </c>
      <c r="T149" s="8">
        <f t="shared" si="21"/>
        <v>0</v>
      </c>
      <c r="U149" s="8">
        <f t="shared" si="22"/>
        <v>-2287.11</v>
      </c>
      <c r="V149" s="134">
        <f t="shared" si="23"/>
        <v>122</v>
      </c>
      <c r="Y149" s="8"/>
    </row>
    <row r="150" spans="1:25" ht="11.25">
      <c r="A150" s="144" t="s">
        <v>463</v>
      </c>
      <c r="B150" s="14">
        <v>42781</v>
      </c>
      <c r="C150" s="144" t="s">
        <v>464</v>
      </c>
      <c r="D150" s="145">
        <v>10.71</v>
      </c>
      <c r="E150" s="152"/>
      <c r="F150" s="153"/>
      <c r="K150" s="14">
        <v>42800</v>
      </c>
      <c r="M150" s="14">
        <f t="shared" si="16"/>
        <v>42809</v>
      </c>
      <c r="N150" s="14">
        <v>42809</v>
      </c>
      <c r="O150" s="9">
        <f t="shared" si="17"/>
        <v>9</v>
      </c>
      <c r="P150" s="9">
        <f t="shared" si="18"/>
        <v>0</v>
      </c>
      <c r="Q150" s="9">
        <f t="shared" si="19"/>
        <v>9</v>
      </c>
      <c r="R150" s="9">
        <f t="shared" si="20"/>
        <v>-21</v>
      </c>
      <c r="S150" s="134">
        <v>22</v>
      </c>
      <c r="T150" s="8">
        <f t="shared" si="21"/>
        <v>0</v>
      </c>
      <c r="U150" s="8">
        <f t="shared" si="22"/>
        <v>-224.91000000000003</v>
      </c>
      <c r="V150" s="134">
        <f t="shared" si="23"/>
        <v>122</v>
      </c>
      <c r="Y150" s="8"/>
    </row>
    <row r="151" spans="1:25" ht="11.25">
      <c r="A151" s="144" t="s">
        <v>465</v>
      </c>
      <c r="B151" s="14">
        <v>42794</v>
      </c>
      <c r="C151" s="144" t="s">
        <v>466</v>
      </c>
      <c r="D151" s="145">
        <v>226.4</v>
      </c>
      <c r="E151" s="152"/>
      <c r="F151" s="153"/>
      <c r="K151" s="14">
        <v>42800</v>
      </c>
      <c r="M151" s="14">
        <f t="shared" si="16"/>
        <v>42809</v>
      </c>
      <c r="N151" s="14">
        <v>42809</v>
      </c>
      <c r="O151" s="9">
        <f t="shared" si="17"/>
        <v>9</v>
      </c>
      <c r="P151" s="9">
        <f t="shared" si="18"/>
        <v>0</v>
      </c>
      <c r="Q151" s="9">
        <f t="shared" si="19"/>
        <v>9</v>
      </c>
      <c r="R151" s="9">
        <f t="shared" si="20"/>
        <v>-21</v>
      </c>
      <c r="S151" s="134">
        <v>29</v>
      </c>
      <c r="T151" s="8">
        <f t="shared" si="21"/>
        <v>0</v>
      </c>
      <c r="U151" s="8">
        <f t="shared" si="22"/>
        <v>-4754.400000000001</v>
      </c>
      <c r="V151" s="134">
        <f t="shared" si="23"/>
        <v>129</v>
      </c>
      <c r="Y151" s="8"/>
    </row>
    <row r="152" spans="1:25" ht="11.25">
      <c r="A152" s="144" t="s">
        <v>467</v>
      </c>
      <c r="B152" s="14">
        <v>42795</v>
      </c>
      <c r="C152" s="144" t="s">
        <v>468</v>
      </c>
      <c r="D152" s="145">
        <v>2062.84</v>
      </c>
      <c r="E152" s="152"/>
      <c r="F152" s="153"/>
      <c r="K152" s="14">
        <v>42825</v>
      </c>
      <c r="M152" s="14">
        <f t="shared" si="16"/>
        <v>42825</v>
      </c>
      <c r="N152" s="14">
        <v>42825</v>
      </c>
      <c r="O152" s="9">
        <f t="shared" si="17"/>
        <v>0</v>
      </c>
      <c r="P152" s="9">
        <f t="shared" si="18"/>
        <v>0</v>
      </c>
      <c r="Q152" s="9">
        <f t="shared" si="19"/>
        <v>0</v>
      </c>
      <c r="R152" s="9">
        <f t="shared" si="20"/>
        <v>-30</v>
      </c>
      <c r="S152" s="134">
        <v>21</v>
      </c>
      <c r="T152" s="8">
        <f t="shared" si="21"/>
        <v>0</v>
      </c>
      <c r="U152" s="8">
        <f t="shared" si="22"/>
        <v>-61885.200000000004</v>
      </c>
      <c r="V152" s="134">
        <f t="shared" si="23"/>
        <v>121</v>
      </c>
      <c r="Y152" s="8"/>
    </row>
    <row r="153" spans="1:25" ht="11.25">
      <c r="A153" s="144" t="s">
        <v>469</v>
      </c>
      <c r="B153" s="14">
        <v>42794</v>
      </c>
      <c r="C153" s="144" t="s">
        <v>470</v>
      </c>
      <c r="D153" s="145">
        <v>150.57</v>
      </c>
      <c r="E153" s="152"/>
      <c r="F153" s="153"/>
      <c r="K153" s="14">
        <v>42800</v>
      </c>
      <c r="M153" s="14">
        <f t="shared" si="16"/>
        <v>42809</v>
      </c>
      <c r="N153" s="14">
        <v>42809</v>
      </c>
      <c r="O153" s="9">
        <f t="shared" si="17"/>
        <v>9</v>
      </c>
      <c r="P153" s="9">
        <f t="shared" si="18"/>
        <v>0</v>
      </c>
      <c r="Q153" s="9">
        <f t="shared" si="19"/>
        <v>9</v>
      </c>
      <c r="R153" s="9">
        <f t="shared" si="20"/>
        <v>-21</v>
      </c>
      <c r="S153" s="134">
        <v>29</v>
      </c>
      <c r="T153" s="8">
        <f t="shared" si="21"/>
        <v>0</v>
      </c>
      <c r="U153" s="8">
        <f t="shared" si="22"/>
        <v>-3161.97</v>
      </c>
      <c r="V153" s="134">
        <f t="shared" si="23"/>
        <v>129</v>
      </c>
      <c r="Y153" s="8"/>
    </row>
    <row r="154" spans="1:25" ht="11.25">
      <c r="A154" s="144" t="s">
        <v>471</v>
      </c>
      <c r="B154" s="14">
        <v>42790</v>
      </c>
      <c r="C154" s="144" t="s">
        <v>472</v>
      </c>
      <c r="D154" s="145">
        <v>216.63</v>
      </c>
      <c r="E154" s="152"/>
      <c r="F154" s="153"/>
      <c r="K154" s="14">
        <v>42801</v>
      </c>
      <c r="M154" s="14">
        <f t="shared" si="16"/>
        <v>42809</v>
      </c>
      <c r="N154" s="14">
        <v>42809</v>
      </c>
      <c r="O154" s="9">
        <f t="shared" si="17"/>
        <v>8</v>
      </c>
      <c r="P154" s="9">
        <f t="shared" si="18"/>
        <v>0</v>
      </c>
      <c r="Q154" s="9">
        <f t="shared" si="19"/>
        <v>8</v>
      </c>
      <c r="R154" s="9">
        <f t="shared" si="20"/>
        <v>-22</v>
      </c>
      <c r="S154" s="134">
        <v>29</v>
      </c>
      <c r="T154" s="8">
        <f t="shared" si="21"/>
        <v>0</v>
      </c>
      <c r="U154" s="8">
        <f t="shared" si="22"/>
        <v>-4765.86</v>
      </c>
      <c r="V154" s="134">
        <f t="shared" si="23"/>
        <v>129</v>
      </c>
      <c r="Y154" s="8"/>
    </row>
    <row r="155" spans="1:25" ht="11.25">
      <c r="A155" s="144" t="s">
        <v>473</v>
      </c>
      <c r="B155" s="14">
        <v>42796</v>
      </c>
      <c r="C155" s="144" t="s">
        <v>474</v>
      </c>
      <c r="D155" s="145">
        <v>38</v>
      </c>
      <c r="E155" s="152"/>
      <c r="F155" s="153"/>
      <c r="K155" s="14">
        <v>42801</v>
      </c>
      <c r="M155" s="14">
        <f t="shared" si="16"/>
        <v>42809</v>
      </c>
      <c r="N155" s="14">
        <v>42809</v>
      </c>
      <c r="O155" s="9">
        <f t="shared" si="17"/>
        <v>8</v>
      </c>
      <c r="P155" s="9">
        <f t="shared" si="18"/>
        <v>0</v>
      </c>
      <c r="Q155" s="9">
        <f t="shared" si="19"/>
        <v>8</v>
      </c>
      <c r="R155" s="9">
        <f t="shared" si="20"/>
        <v>-22</v>
      </c>
      <c r="S155" s="134">
        <v>29</v>
      </c>
      <c r="T155" s="8">
        <f t="shared" si="21"/>
        <v>0</v>
      </c>
      <c r="U155" s="8">
        <f t="shared" si="22"/>
        <v>-836</v>
      </c>
      <c r="V155" s="134">
        <f t="shared" si="23"/>
        <v>129</v>
      </c>
      <c r="Y155" s="8"/>
    </row>
    <row r="156" spans="1:25" s="134" customFormat="1" ht="11.25">
      <c r="A156" s="144" t="s">
        <v>475</v>
      </c>
      <c r="B156" s="14">
        <v>42786</v>
      </c>
      <c r="C156" s="144" t="s">
        <v>476</v>
      </c>
      <c r="D156" s="145">
        <v>336.08</v>
      </c>
      <c r="K156" s="14">
        <v>42794</v>
      </c>
      <c r="L156" s="14"/>
      <c r="M156" s="14">
        <f t="shared" si="16"/>
        <v>42794</v>
      </c>
      <c r="N156" s="14">
        <v>42794</v>
      </c>
      <c r="O156" s="9">
        <f t="shared" si="17"/>
        <v>0</v>
      </c>
      <c r="P156" s="9">
        <f t="shared" si="18"/>
        <v>0</v>
      </c>
      <c r="Q156" s="9">
        <f t="shared" si="19"/>
        <v>0</v>
      </c>
      <c r="R156" s="9">
        <f t="shared" si="20"/>
        <v>-30</v>
      </c>
      <c r="S156" s="134">
        <v>21</v>
      </c>
      <c r="T156" s="8">
        <f t="shared" si="21"/>
        <v>0</v>
      </c>
      <c r="U156" s="8">
        <f t="shared" si="22"/>
        <v>-10082.4</v>
      </c>
      <c r="V156" s="134">
        <f t="shared" si="23"/>
        <v>121</v>
      </c>
      <c r="Y156" s="8"/>
    </row>
    <row r="157" spans="1:25" s="134" customFormat="1" ht="11.25">
      <c r="A157" s="144" t="s">
        <v>477</v>
      </c>
      <c r="B157" s="14">
        <v>42795</v>
      </c>
      <c r="C157" s="144" t="s">
        <v>478</v>
      </c>
      <c r="D157" s="145">
        <v>136.75</v>
      </c>
      <c r="K157" s="14">
        <v>42795</v>
      </c>
      <c r="L157" s="14"/>
      <c r="M157" s="14">
        <f t="shared" si="16"/>
        <v>42795</v>
      </c>
      <c r="N157" s="14">
        <v>42795</v>
      </c>
      <c r="O157" s="9">
        <f t="shared" si="17"/>
        <v>0</v>
      </c>
      <c r="P157" s="9">
        <f t="shared" si="18"/>
        <v>0</v>
      </c>
      <c r="Q157" s="9">
        <f t="shared" si="19"/>
        <v>0</v>
      </c>
      <c r="R157" s="9">
        <f t="shared" si="20"/>
        <v>-30</v>
      </c>
      <c r="S157" s="134">
        <v>29</v>
      </c>
      <c r="T157" s="8">
        <f t="shared" si="21"/>
        <v>0</v>
      </c>
      <c r="U157" s="8">
        <f t="shared" si="22"/>
        <v>-4102.5</v>
      </c>
      <c r="V157" s="134">
        <f t="shared" si="23"/>
        <v>129</v>
      </c>
      <c r="Y157" s="8"/>
    </row>
    <row r="158" spans="1:25" ht="11.25">
      <c r="A158" s="144" t="s">
        <v>479</v>
      </c>
      <c r="B158" s="14">
        <v>42736</v>
      </c>
      <c r="C158" s="144" t="s">
        <v>480</v>
      </c>
      <c r="D158" s="145">
        <v>122.38</v>
      </c>
      <c r="K158" s="14">
        <v>42737</v>
      </c>
      <c r="M158" s="14">
        <f t="shared" si="16"/>
        <v>42737</v>
      </c>
      <c r="N158" s="14">
        <v>42737</v>
      </c>
      <c r="O158" s="9">
        <f t="shared" si="17"/>
        <v>0</v>
      </c>
      <c r="P158" s="9">
        <f t="shared" si="18"/>
        <v>0</v>
      </c>
      <c r="Q158" s="9">
        <f t="shared" si="19"/>
        <v>0</v>
      </c>
      <c r="R158" s="9">
        <f t="shared" si="20"/>
        <v>-30</v>
      </c>
      <c r="S158" s="134">
        <v>29</v>
      </c>
      <c r="T158" s="8">
        <f t="shared" si="21"/>
        <v>0</v>
      </c>
      <c r="U158" s="8">
        <f t="shared" si="22"/>
        <v>-3671.3999999999996</v>
      </c>
      <c r="V158" s="134">
        <f t="shared" si="23"/>
        <v>129</v>
      </c>
      <c r="Y158" s="8"/>
    </row>
    <row r="159" spans="1:25" ht="11.25">
      <c r="A159" s="144" t="s">
        <v>481</v>
      </c>
      <c r="B159" s="14">
        <v>42796</v>
      </c>
      <c r="C159" s="144" t="s">
        <v>482</v>
      </c>
      <c r="D159" s="145">
        <v>217.8</v>
      </c>
      <c r="K159" s="14">
        <v>42800</v>
      </c>
      <c r="M159" s="14">
        <f t="shared" si="16"/>
        <v>42800</v>
      </c>
      <c r="N159" s="14">
        <v>42800</v>
      </c>
      <c r="O159" s="9">
        <f t="shared" si="17"/>
        <v>0</v>
      </c>
      <c r="P159" s="9">
        <f t="shared" si="18"/>
        <v>0</v>
      </c>
      <c r="Q159" s="9">
        <f t="shared" si="19"/>
        <v>0</v>
      </c>
      <c r="R159" s="9">
        <f t="shared" si="20"/>
        <v>-30</v>
      </c>
      <c r="S159" s="134">
        <v>20</v>
      </c>
      <c r="T159" s="8">
        <f t="shared" si="21"/>
        <v>0</v>
      </c>
      <c r="U159" s="8">
        <f t="shared" si="22"/>
        <v>-6534</v>
      </c>
      <c r="V159" s="134">
        <f t="shared" si="23"/>
        <v>120</v>
      </c>
      <c r="Y159" s="8"/>
    </row>
    <row r="160" spans="1:25" ht="11.25">
      <c r="A160" s="144" t="s">
        <v>483</v>
      </c>
      <c r="B160" s="14">
        <v>42758</v>
      </c>
      <c r="C160" s="144" t="s">
        <v>484</v>
      </c>
      <c r="D160" s="145">
        <v>300.62</v>
      </c>
      <c r="K160" s="14">
        <v>42762</v>
      </c>
      <c r="M160" s="14">
        <f t="shared" si="16"/>
        <v>42762</v>
      </c>
      <c r="N160" s="14">
        <v>42762</v>
      </c>
      <c r="O160" s="9">
        <f t="shared" si="17"/>
        <v>0</v>
      </c>
      <c r="P160" s="9">
        <f t="shared" si="18"/>
        <v>0</v>
      </c>
      <c r="Q160" s="9">
        <f t="shared" si="19"/>
        <v>0</v>
      </c>
      <c r="R160" s="9">
        <f t="shared" si="20"/>
        <v>-30</v>
      </c>
      <c r="S160" s="134">
        <v>29</v>
      </c>
      <c r="T160" s="8">
        <f t="shared" si="21"/>
        <v>0</v>
      </c>
      <c r="U160" s="8">
        <f t="shared" si="22"/>
        <v>-9018.6</v>
      </c>
      <c r="V160" s="134">
        <f t="shared" si="23"/>
        <v>129</v>
      </c>
      <c r="Y160" s="8"/>
    </row>
    <row r="161" spans="1:25" ht="11.25">
      <c r="A161" s="144" t="s">
        <v>485</v>
      </c>
      <c r="B161" s="14">
        <v>42789</v>
      </c>
      <c r="C161" s="144" t="s">
        <v>486</v>
      </c>
      <c r="D161" s="145">
        <v>300.62</v>
      </c>
      <c r="K161" s="14">
        <v>42793</v>
      </c>
      <c r="M161" s="14">
        <f t="shared" si="16"/>
        <v>42793</v>
      </c>
      <c r="N161" s="14">
        <v>42793</v>
      </c>
      <c r="O161" s="9">
        <f t="shared" si="17"/>
        <v>0</v>
      </c>
      <c r="P161" s="9">
        <f t="shared" si="18"/>
        <v>0</v>
      </c>
      <c r="Q161" s="9">
        <f t="shared" si="19"/>
        <v>0</v>
      </c>
      <c r="R161" s="9">
        <f t="shared" si="20"/>
        <v>-30</v>
      </c>
      <c r="S161" s="134">
        <v>29</v>
      </c>
      <c r="T161" s="8">
        <f t="shared" si="21"/>
        <v>0</v>
      </c>
      <c r="U161" s="8">
        <f t="shared" si="22"/>
        <v>-9018.6</v>
      </c>
      <c r="V161" s="134">
        <f t="shared" si="23"/>
        <v>129</v>
      </c>
      <c r="Y161" s="8"/>
    </row>
    <row r="162" spans="1:25" ht="11.25">
      <c r="A162" s="144" t="s">
        <v>487</v>
      </c>
      <c r="B162" s="14">
        <v>42797</v>
      </c>
      <c r="C162" s="144" t="s">
        <v>488</v>
      </c>
      <c r="D162" s="145">
        <v>116.1</v>
      </c>
      <c r="K162" s="14">
        <v>42802</v>
      </c>
      <c r="M162" s="14">
        <f t="shared" si="16"/>
        <v>42807</v>
      </c>
      <c r="N162" s="14">
        <v>42807</v>
      </c>
      <c r="O162" s="9">
        <f t="shared" si="17"/>
        <v>5</v>
      </c>
      <c r="P162" s="9">
        <f t="shared" si="18"/>
        <v>0</v>
      </c>
      <c r="Q162" s="9">
        <f t="shared" si="19"/>
        <v>5</v>
      </c>
      <c r="R162" s="9">
        <f t="shared" si="20"/>
        <v>-25</v>
      </c>
      <c r="S162" s="134">
        <v>22</v>
      </c>
      <c r="T162" s="8">
        <f t="shared" si="21"/>
        <v>0</v>
      </c>
      <c r="U162" s="8">
        <f t="shared" si="22"/>
        <v>-2902.5</v>
      </c>
      <c r="V162" s="134">
        <f t="shared" si="23"/>
        <v>122</v>
      </c>
      <c r="Y162" s="8"/>
    </row>
    <row r="163" spans="1:25" ht="11.25">
      <c r="A163" s="144" t="s">
        <v>489</v>
      </c>
      <c r="B163" s="14">
        <v>42766</v>
      </c>
      <c r="C163" s="144" t="s">
        <v>490</v>
      </c>
      <c r="D163" s="145">
        <v>77</v>
      </c>
      <c r="K163" s="14">
        <v>42772</v>
      </c>
      <c r="M163" s="14">
        <f t="shared" si="16"/>
        <v>42772</v>
      </c>
      <c r="N163" s="14">
        <v>42772</v>
      </c>
      <c r="O163" s="9">
        <f t="shared" si="17"/>
        <v>0</v>
      </c>
      <c r="P163" s="9">
        <f t="shared" si="18"/>
        <v>0</v>
      </c>
      <c r="Q163" s="9">
        <f t="shared" si="19"/>
        <v>0</v>
      </c>
      <c r="R163" s="9">
        <f t="shared" si="20"/>
        <v>-30</v>
      </c>
      <c r="S163" s="134">
        <v>29</v>
      </c>
      <c r="T163" s="8">
        <f t="shared" si="21"/>
        <v>0</v>
      </c>
      <c r="U163" s="8">
        <f t="shared" si="22"/>
        <v>-2310</v>
      </c>
      <c r="V163" s="134">
        <f t="shared" si="23"/>
        <v>129</v>
      </c>
      <c r="Y163" s="8"/>
    </row>
    <row r="164" spans="1:25" ht="11.25">
      <c r="A164" s="144" t="s">
        <v>491</v>
      </c>
      <c r="B164" s="14">
        <v>42801</v>
      </c>
      <c r="C164" s="144" t="s">
        <v>492</v>
      </c>
      <c r="D164" s="145">
        <v>363</v>
      </c>
      <c r="K164" s="14">
        <v>42809</v>
      </c>
      <c r="M164" s="14">
        <f t="shared" si="16"/>
        <v>42809</v>
      </c>
      <c r="N164" s="14">
        <v>42809</v>
      </c>
      <c r="O164" s="9">
        <f t="shared" si="17"/>
        <v>0</v>
      </c>
      <c r="P164" s="9">
        <f t="shared" si="18"/>
        <v>0</v>
      </c>
      <c r="Q164" s="9">
        <f t="shared" si="19"/>
        <v>0</v>
      </c>
      <c r="R164" s="9">
        <f t="shared" si="20"/>
        <v>-30</v>
      </c>
      <c r="S164" s="134">
        <v>29</v>
      </c>
      <c r="T164" s="8">
        <f t="shared" si="21"/>
        <v>0</v>
      </c>
      <c r="U164" s="8">
        <f t="shared" si="22"/>
        <v>-10890</v>
      </c>
      <c r="V164" s="134">
        <f t="shared" si="23"/>
        <v>129</v>
      </c>
      <c r="Y164" s="8"/>
    </row>
    <row r="165" spans="1:25" ht="11.25">
      <c r="A165" s="144" t="s">
        <v>493</v>
      </c>
      <c r="B165" s="14">
        <v>42759</v>
      </c>
      <c r="C165" s="144" t="s">
        <v>494</v>
      </c>
      <c r="D165" s="145">
        <v>538.15</v>
      </c>
      <c r="K165" s="14">
        <v>42758</v>
      </c>
      <c r="M165" s="14">
        <f t="shared" si="16"/>
        <v>42758</v>
      </c>
      <c r="N165" s="14">
        <v>42758</v>
      </c>
      <c r="O165" s="9">
        <f t="shared" si="17"/>
        <v>0</v>
      </c>
      <c r="P165" s="9">
        <f t="shared" si="18"/>
        <v>0</v>
      </c>
      <c r="Q165" s="9">
        <f t="shared" si="19"/>
        <v>0</v>
      </c>
      <c r="R165" s="9">
        <f t="shared" si="20"/>
        <v>-30</v>
      </c>
      <c r="S165" s="134">
        <v>29</v>
      </c>
      <c r="T165" s="8">
        <f t="shared" si="21"/>
        <v>0</v>
      </c>
      <c r="U165" s="8">
        <f t="shared" si="22"/>
        <v>-16144.5</v>
      </c>
      <c r="V165" s="134">
        <f t="shared" si="23"/>
        <v>129</v>
      </c>
      <c r="Y165" s="8"/>
    </row>
    <row r="166" spans="1:25" ht="11.25">
      <c r="A166" s="144" t="s">
        <v>495</v>
      </c>
      <c r="B166" s="14">
        <v>42773</v>
      </c>
      <c r="C166" s="144" t="s">
        <v>496</v>
      </c>
      <c r="D166" s="145">
        <v>153.52</v>
      </c>
      <c r="K166" s="14">
        <v>42772</v>
      </c>
      <c r="M166" s="14">
        <f t="shared" si="16"/>
        <v>42772</v>
      </c>
      <c r="N166" s="14">
        <v>42772</v>
      </c>
      <c r="O166" s="9">
        <f t="shared" si="17"/>
        <v>0</v>
      </c>
      <c r="P166" s="9">
        <f t="shared" si="18"/>
        <v>0</v>
      </c>
      <c r="Q166" s="9">
        <f t="shared" si="19"/>
        <v>0</v>
      </c>
      <c r="R166" s="9">
        <f t="shared" si="20"/>
        <v>-30</v>
      </c>
      <c r="S166" s="134">
        <v>29</v>
      </c>
      <c r="T166" s="8">
        <f t="shared" si="21"/>
        <v>0</v>
      </c>
      <c r="U166" s="8">
        <f t="shared" si="22"/>
        <v>-4605.6</v>
      </c>
      <c r="V166" s="134">
        <f t="shared" si="23"/>
        <v>129</v>
      </c>
      <c r="Y166" s="8"/>
    </row>
    <row r="167" spans="1:25" ht="11.25">
      <c r="A167" s="144" t="s">
        <v>497</v>
      </c>
      <c r="B167" s="14">
        <v>42794</v>
      </c>
      <c r="C167" s="144" t="s">
        <v>498</v>
      </c>
      <c r="D167" s="145">
        <v>408.89</v>
      </c>
      <c r="K167" s="14">
        <v>42797</v>
      </c>
      <c r="M167" s="14">
        <f t="shared" si="16"/>
        <v>42797</v>
      </c>
      <c r="N167" s="14">
        <v>42797</v>
      </c>
      <c r="O167" s="9">
        <f t="shared" si="17"/>
        <v>0</v>
      </c>
      <c r="P167" s="9">
        <f t="shared" si="18"/>
        <v>0</v>
      </c>
      <c r="Q167" s="9">
        <f t="shared" si="19"/>
        <v>0</v>
      </c>
      <c r="R167" s="9">
        <f t="shared" si="20"/>
        <v>-30</v>
      </c>
      <c r="S167" s="134">
        <v>29</v>
      </c>
      <c r="T167" s="8">
        <f t="shared" si="21"/>
        <v>0</v>
      </c>
      <c r="U167" s="8">
        <f t="shared" si="22"/>
        <v>-12266.699999999999</v>
      </c>
      <c r="V167" s="134">
        <f t="shared" si="23"/>
        <v>129</v>
      </c>
      <c r="Y167" s="8"/>
    </row>
    <row r="168" spans="1:25" ht="11.25">
      <c r="A168" s="144" t="s">
        <v>499</v>
      </c>
      <c r="B168" s="14">
        <v>42825</v>
      </c>
      <c r="C168" s="144" t="s">
        <v>500</v>
      </c>
      <c r="D168" s="145">
        <v>408.89</v>
      </c>
      <c r="K168" s="14">
        <v>42797</v>
      </c>
      <c r="M168" s="14">
        <f t="shared" si="16"/>
        <v>42797</v>
      </c>
      <c r="N168" s="14">
        <v>42797</v>
      </c>
      <c r="O168" s="9">
        <f t="shared" si="17"/>
        <v>0</v>
      </c>
      <c r="P168" s="9">
        <f t="shared" si="18"/>
        <v>0</v>
      </c>
      <c r="Q168" s="9">
        <f t="shared" si="19"/>
        <v>0</v>
      </c>
      <c r="R168" s="9">
        <f t="shared" si="20"/>
        <v>-30</v>
      </c>
      <c r="S168" s="134">
        <v>29</v>
      </c>
      <c r="T168" s="8">
        <f t="shared" si="21"/>
        <v>0</v>
      </c>
      <c r="U168" s="8">
        <f t="shared" si="22"/>
        <v>-12266.699999999999</v>
      </c>
      <c r="V168" s="134">
        <f t="shared" si="23"/>
        <v>129</v>
      </c>
      <c r="Y168" s="8"/>
    </row>
    <row r="169" spans="1:25" ht="11.25">
      <c r="A169" s="144" t="s">
        <v>501</v>
      </c>
      <c r="B169" s="14">
        <v>42800</v>
      </c>
      <c r="C169" s="144" t="s">
        <v>502</v>
      </c>
      <c r="D169" s="145">
        <v>1161.6</v>
      </c>
      <c r="K169" s="14">
        <v>42807</v>
      </c>
      <c r="M169" s="14">
        <f t="shared" si="16"/>
        <v>42809</v>
      </c>
      <c r="N169" s="14">
        <v>42809</v>
      </c>
      <c r="O169" s="9">
        <f t="shared" si="17"/>
        <v>2</v>
      </c>
      <c r="P169" s="9">
        <f t="shared" si="18"/>
        <v>0</v>
      </c>
      <c r="Q169" s="9">
        <f t="shared" si="19"/>
        <v>2</v>
      </c>
      <c r="R169" s="9">
        <f t="shared" si="20"/>
        <v>-28</v>
      </c>
      <c r="S169" s="134">
        <v>29</v>
      </c>
      <c r="T169" s="8">
        <f t="shared" si="21"/>
        <v>0</v>
      </c>
      <c r="U169" s="8">
        <f t="shared" si="22"/>
        <v>-32524.799999999996</v>
      </c>
      <c r="V169" s="134">
        <f t="shared" si="23"/>
        <v>129</v>
      </c>
      <c r="Y169" s="8"/>
    </row>
    <row r="170" spans="1:25" ht="11.25">
      <c r="A170" s="144" t="s">
        <v>503</v>
      </c>
      <c r="B170" s="14">
        <v>42796</v>
      </c>
      <c r="C170" s="144" t="s">
        <v>504</v>
      </c>
      <c r="D170" s="145">
        <v>680.2</v>
      </c>
      <c r="K170" s="14">
        <v>42807</v>
      </c>
      <c r="M170" s="14">
        <f t="shared" si="16"/>
        <v>42809</v>
      </c>
      <c r="N170" s="14">
        <v>42809</v>
      </c>
      <c r="O170" s="9">
        <f t="shared" si="17"/>
        <v>2</v>
      </c>
      <c r="P170" s="9">
        <f t="shared" si="18"/>
        <v>0</v>
      </c>
      <c r="Q170" s="9">
        <f t="shared" si="19"/>
        <v>2</v>
      </c>
      <c r="R170" s="9">
        <f t="shared" si="20"/>
        <v>-28</v>
      </c>
      <c r="S170" s="134">
        <v>29</v>
      </c>
      <c r="T170" s="8">
        <f t="shared" si="21"/>
        <v>0</v>
      </c>
      <c r="U170" s="8">
        <f t="shared" si="22"/>
        <v>-19045.600000000002</v>
      </c>
      <c r="V170" s="134">
        <f t="shared" si="23"/>
        <v>129</v>
      </c>
      <c r="Y170" s="8"/>
    </row>
    <row r="171" spans="1:25" ht="11.25">
      <c r="A171" s="144" t="s">
        <v>505</v>
      </c>
      <c r="B171" s="14">
        <v>42793</v>
      </c>
      <c r="C171" s="144" t="s">
        <v>506</v>
      </c>
      <c r="D171" s="145">
        <v>26999.94</v>
      </c>
      <c r="K171" s="14">
        <v>42807</v>
      </c>
      <c r="M171" s="14">
        <f t="shared" si="16"/>
        <v>42809</v>
      </c>
      <c r="N171" s="14">
        <v>42809</v>
      </c>
      <c r="O171" s="9">
        <f t="shared" si="17"/>
        <v>2</v>
      </c>
      <c r="P171" s="9">
        <f t="shared" si="18"/>
        <v>0</v>
      </c>
      <c r="Q171" s="9">
        <f t="shared" si="19"/>
        <v>2</v>
      </c>
      <c r="R171" s="9">
        <f t="shared" si="20"/>
        <v>-28</v>
      </c>
      <c r="S171" s="134">
        <v>29</v>
      </c>
      <c r="T171" s="8">
        <f t="shared" si="21"/>
        <v>0</v>
      </c>
      <c r="U171" s="8">
        <f t="shared" si="22"/>
        <v>-755998.32</v>
      </c>
      <c r="V171" s="134">
        <f t="shared" si="23"/>
        <v>129</v>
      </c>
      <c r="Y171" s="8"/>
    </row>
    <row r="172" spans="1:25" ht="11.25">
      <c r="A172" s="144" t="s">
        <v>507</v>
      </c>
      <c r="B172" s="14">
        <v>42794</v>
      </c>
      <c r="C172" s="144" t="s">
        <v>508</v>
      </c>
      <c r="D172" s="145">
        <v>1108.17</v>
      </c>
      <c r="K172" s="14">
        <v>42794</v>
      </c>
      <c r="M172" s="14">
        <f t="shared" si="16"/>
        <v>42794</v>
      </c>
      <c r="N172" s="14">
        <v>42794</v>
      </c>
      <c r="O172" s="9">
        <f t="shared" si="17"/>
        <v>0</v>
      </c>
      <c r="P172" s="9">
        <f t="shared" si="18"/>
        <v>0</v>
      </c>
      <c r="Q172" s="9">
        <f t="shared" si="19"/>
        <v>0</v>
      </c>
      <c r="R172" s="9">
        <f t="shared" si="20"/>
        <v>-30</v>
      </c>
      <c r="S172" s="134">
        <v>29</v>
      </c>
      <c r="T172" s="8">
        <f t="shared" si="21"/>
        <v>0</v>
      </c>
      <c r="U172" s="8">
        <f t="shared" si="22"/>
        <v>-33245.100000000006</v>
      </c>
      <c r="V172" s="134">
        <f t="shared" si="23"/>
        <v>129</v>
      </c>
      <c r="Y172" s="8"/>
    </row>
    <row r="173" spans="1:25" ht="11.25">
      <c r="A173" s="144" t="s">
        <v>509</v>
      </c>
      <c r="B173" s="14">
        <v>42793</v>
      </c>
      <c r="C173" s="144" t="s">
        <v>510</v>
      </c>
      <c r="D173" s="145">
        <v>151.25</v>
      </c>
      <c r="K173" s="14">
        <v>42807</v>
      </c>
      <c r="M173" s="14">
        <f t="shared" si="16"/>
        <v>42809</v>
      </c>
      <c r="N173" s="14">
        <v>42809</v>
      </c>
      <c r="O173" s="9">
        <f t="shared" si="17"/>
        <v>2</v>
      </c>
      <c r="P173" s="9">
        <f t="shared" si="18"/>
        <v>0</v>
      </c>
      <c r="Q173" s="9">
        <f t="shared" si="19"/>
        <v>2</v>
      </c>
      <c r="R173" s="9">
        <f t="shared" si="20"/>
        <v>-28</v>
      </c>
      <c r="S173" s="134">
        <v>21</v>
      </c>
      <c r="T173" s="8">
        <f t="shared" si="21"/>
        <v>0</v>
      </c>
      <c r="U173" s="8">
        <f t="shared" si="22"/>
        <v>-4235</v>
      </c>
      <c r="V173" s="134">
        <f t="shared" si="23"/>
        <v>121</v>
      </c>
      <c r="Y173" s="8"/>
    </row>
    <row r="174" spans="1:25" ht="11.25">
      <c r="A174" s="144" t="s">
        <v>511</v>
      </c>
      <c r="B174" s="14">
        <v>42794</v>
      </c>
      <c r="C174" s="144" t="s">
        <v>512</v>
      </c>
      <c r="D174" s="145">
        <v>692.97</v>
      </c>
      <c r="K174" s="14">
        <v>42807</v>
      </c>
      <c r="M174" s="14">
        <f t="shared" si="16"/>
        <v>42809</v>
      </c>
      <c r="N174" s="14">
        <v>42809</v>
      </c>
      <c r="O174" s="9">
        <f t="shared" si="17"/>
        <v>2</v>
      </c>
      <c r="P174" s="9">
        <f t="shared" si="18"/>
        <v>0</v>
      </c>
      <c r="Q174" s="9">
        <f t="shared" si="19"/>
        <v>2</v>
      </c>
      <c r="R174" s="9">
        <f t="shared" si="20"/>
        <v>-28</v>
      </c>
      <c r="S174" s="134">
        <v>29</v>
      </c>
      <c r="T174" s="8">
        <f t="shared" si="21"/>
        <v>0</v>
      </c>
      <c r="U174" s="8">
        <f t="shared" si="22"/>
        <v>-19403.16</v>
      </c>
      <c r="V174" s="134">
        <f t="shared" si="23"/>
        <v>129</v>
      </c>
      <c r="Y174" s="8"/>
    </row>
    <row r="175" spans="1:25" ht="11.25">
      <c r="A175" s="144" t="s">
        <v>513</v>
      </c>
      <c r="B175" s="14">
        <v>42775</v>
      </c>
      <c r="C175" s="144" t="s">
        <v>514</v>
      </c>
      <c r="D175" s="145">
        <v>600.16</v>
      </c>
      <c r="K175" s="14">
        <v>42807</v>
      </c>
      <c r="M175" s="14">
        <f t="shared" si="16"/>
        <v>42809</v>
      </c>
      <c r="N175" s="14">
        <v>42809</v>
      </c>
      <c r="O175" s="9">
        <f t="shared" si="17"/>
        <v>2</v>
      </c>
      <c r="P175" s="9">
        <f t="shared" si="18"/>
        <v>0</v>
      </c>
      <c r="Q175" s="9">
        <f t="shared" si="19"/>
        <v>2</v>
      </c>
      <c r="R175" s="9">
        <f t="shared" si="20"/>
        <v>-28</v>
      </c>
      <c r="S175" s="134">
        <v>29</v>
      </c>
      <c r="T175" s="8">
        <f t="shared" si="21"/>
        <v>0</v>
      </c>
      <c r="U175" s="8">
        <f t="shared" si="22"/>
        <v>-16804.48</v>
      </c>
      <c r="V175" s="134">
        <f t="shared" si="23"/>
        <v>129</v>
      </c>
      <c r="Y175" s="8"/>
    </row>
    <row r="176" spans="1:25" ht="11.25">
      <c r="A176" s="144" t="s">
        <v>515</v>
      </c>
      <c r="B176" s="14">
        <v>42794</v>
      </c>
      <c r="C176" s="144" t="s">
        <v>516</v>
      </c>
      <c r="D176" s="145">
        <v>673.73</v>
      </c>
      <c r="K176" s="14">
        <v>42807</v>
      </c>
      <c r="M176" s="14">
        <f t="shared" si="16"/>
        <v>42824</v>
      </c>
      <c r="N176" s="14">
        <v>42824</v>
      </c>
      <c r="O176" s="9">
        <f t="shared" si="17"/>
        <v>17</v>
      </c>
      <c r="P176" s="9">
        <f t="shared" si="18"/>
        <v>0</v>
      </c>
      <c r="Q176" s="9">
        <f t="shared" si="19"/>
        <v>17</v>
      </c>
      <c r="R176" s="9">
        <f t="shared" si="20"/>
        <v>-13</v>
      </c>
      <c r="S176" s="134">
        <v>29</v>
      </c>
      <c r="T176" s="8">
        <f t="shared" si="21"/>
        <v>0</v>
      </c>
      <c r="U176" s="8">
        <f t="shared" si="22"/>
        <v>-8758.49</v>
      </c>
      <c r="V176" s="134">
        <f t="shared" si="23"/>
        <v>129</v>
      </c>
      <c r="Y176" s="8"/>
    </row>
    <row r="177" spans="1:25" ht="11.25">
      <c r="A177" s="146" t="s">
        <v>517</v>
      </c>
      <c r="B177" s="14">
        <v>42789</v>
      </c>
      <c r="C177" s="146" t="s">
        <v>518</v>
      </c>
      <c r="D177" s="147">
        <v>950</v>
      </c>
      <c r="K177" s="14">
        <v>42807</v>
      </c>
      <c r="M177" s="14">
        <f t="shared" si="16"/>
        <v>42823</v>
      </c>
      <c r="N177" s="14">
        <v>42823</v>
      </c>
      <c r="O177" s="9">
        <f t="shared" si="17"/>
        <v>16</v>
      </c>
      <c r="P177" s="9">
        <f t="shared" si="18"/>
        <v>0</v>
      </c>
      <c r="Q177" s="9">
        <f t="shared" si="19"/>
        <v>16</v>
      </c>
      <c r="R177" s="9">
        <f t="shared" si="20"/>
        <v>-14</v>
      </c>
      <c r="S177" s="134">
        <v>29</v>
      </c>
      <c r="T177" s="8">
        <f t="shared" si="21"/>
        <v>0</v>
      </c>
      <c r="U177" s="8">
        <f t="shared" si="22"/>
        <v>-13300</v>
      </c>
      <c r="V177" s="134">
        <f t="shared" si="23"/>
        <v>129</v>
      </c>
      <c r="Y177" s="8"/>
    </row>
    <row r="178" spans="1:25" ht="11.25">
      <c r="A178" s="144" t="s">
        <v>519</v>
      </c>
      <c r="B178" s="14">
        <v>42736</v>
      </c>
      <c r="C178" s="144" t="s">
        <v>520</v>
      </c>
      <c r="D178" s="145">
        <v>143.34</v>
      </c>
      <c r="K178" s="14">
        <v>42801</v>
      </c>
      <c r="M178" s="14">
        <f t="shared" si="16"/>
        <v>42801</v>
      </c>
      <c r="N178" s="14">
        <v>42801</v>
      </c>
      <c r="O178" s="9">
        <f t="shared" si="17"/>
        <v>0</v>
      </c>
      <c r="P178" s="9">
        <f t="shared" si="18"/>
        <v>0</v>
      </c>
      <c r="Q178" s="9">
        <f t="shared" si="19"/>
        <v>0</v>
      </c>
      <c r="R178" s="9">
        <f t="shared" si="20"/>
        <v>-30</v>
      </c>
      <c r="S178" s="134">
        <v>29</v>
      </c>
      <c r="T178" s="8">
        <f t="shared" si="21"/>
        <v>0</v>
      </c>
      <c r="U178" s="8">
        <f t="shared" si="22"/>
        <v>-4300.2</v>
      </c>
      <c r="V178" s="134">
        <f t="shared" si="23"/>
        <v>129</v>
      </c>
      <c r="Y178" s="8"/>
    </row>
    <row r="179" spans="1:25" ht="11.25">
      <c r="A179" s="144" t="s">
        <v>521</v>
      </c>
      <c r="B179" s="14">
        <v>42792</v>
      </c>
      <c r="C179" s="144" t="s">
        <v>522</v>
      </c>
      <c r="D179" s="145">
        <v>147.98</v>
      </c>
      <c r="K179" s="14">
        <v>42807</v>
      </c>
      <c r="M179" s="14">
        <f t="shared" si="16"/>
        <v>42809</v>
      </c>
      <c r="N179" s="14">
        <v>42809</v>
      </c>
      <c r="O179" s="9">
        <f t="shared" si="17"/>
        <v>2</v>
      </c>
      <c r="P179" s="9">
        <f t="shared" si="18"/>
        <v>0</v>
      </c>
      <c r="Q179" s="9">
        <f t="shared" si="19"/>
        <v>2</v>
      </c>
      <c r="R179" s="9">
        <f t="shared" si="20"/>
        <v>-28</v>
      </c>
      <c r="S179" s="134">
        <v>29</v>
      </c>
      <c r="T179" s="8">
        <f t="shared" si="21"/>
        <v>0</v>
      </c>
      <c r="U179" s="8">
        <f t="shared" si="22"/>
        <v>-4143.44</v>
      </c>
      <c r="V179" s="134">
        <f t="shared" si="23"/>
        <v>129</v>
      </c>
      <c r="Y179" s="8"/>
    </row>
    <row r="180" spans="1:25" ht="11.25">
      <c r="A180" s="144" t="s">
        <v>523</v>
      </c>
      <c r="B180" s="14">
        <v>42794</v>
      </c>
      <c r="C180" s="144" t="s">
        <v>524</v>
      </c>
      <c r="D180" s="145">
        <v>119.19</v>
      </c>
      <c r="K180" s="14">
        <v>42794</v>
      </c>
      <c r="M180" s="14">
        <f t="shared" si="16"/>
        <v>42794</v>
      </c>
      <c r="N180" s="14">
        <v>42794</v>
      </c>
      <c r="O180" s="9">
        <f t="shared" si="17"/>
        <v>0</v>
      </c>
      <c r="P180" s="9">
        <f t="shared" si="18"/>
        <v>0</v>
      </c>
      <c r="Q180" s="9">
        <f t="shared" si="19"/>
        <v>0</v>
      </c>
      <c r="R180" s="9">
        <f t="shared" si="20"/>
        <v>-30</v>
      </c>
      <c r="S180" s="134">
        <v>29</v>
      </c>
      <c r="T180" s="8">
        <f t="shared" si="21"/>
        <v>0</v>
      </c>
      <c r="U180" s="8">
        <f t="shared" si="22"/>
        <v>-3575.7</v>
      </c>
      <c r="V180" s="134">
        <f t="shared" si="23"/>
        <v>129</v>
      </c>
      <c r="Y180" s="8"/>
    </row>
    <row r="181" spans="1:25" ht="11.25">
      <c r="A181" s="144" t="s">
        <v>525</v>
      </c>
      <c r="B181" s="14">
        <v>42795</v>
      </c>
      <c r="C181" s="144" t="s">
        <v>526</v>
      </c>
      <c r="D181" s="145">
        <v>60.01</v>
      </c>
      <c r="K181" s="14">
        <v>42807</v>
      </c>
      <c r="M181" s="14">
        <f t="shared" si="16"/>
        <v>42809</v>
      </c>
      <c r="N181" s="14">
        <v>42809</v>
      </c>
      <c r="O181" s="9">
        <f t="shared" si="17"/>
        <v>2</v>
      </c>
      <c r="P181" s="9">
        <f t="shared" si="18"/>
        <v>0</v>
      </c>
      <c r="Q181" s="9">
        <f t="shared" si="19"/>
        <v>2</v>
      </c>
      <c r="R181" s="9">
        <f t="shared" si="20"/>
        <v>-28</v>
      </c>
      <c r="S181" s="134">
        <v>29</v>
      </c>
      <c r="T181" s="8">
        <f t="shared" si="21"/>
        <v>0</v>
      </c>
      <c r="U181" s="8">
        <f t="shared" si="22"/>
        <v>-1680.28</v>
      </c>
      <c r="V181" s="134">
        <f t="shared" si="23"/>
        <v>129</v>
      </c>
      <c r="Y181" s="8"/>
    </row>
    <row r="182" spans="1:25" ht="11.25">
      <c r="A182" s="144" t="s">
        <v>527</v>
      </c>
      <c r="B182" s="14">
        <v>42794</v>
      </c>
      <c r="C182" s="144" t="s">
        <v>528</v>
      </c>
      <c r="D182" s="145">
        <v>1188.85</v>
      </c>
      <c r="K182" s="14">
        <v>42807</v>
      </c>
      <c r="M182" s="14">
        <f t="shared" si="16"/>
        <v>42809</v>
      </c>
      <c r="N182" s="14">
        <v>42809</v>
      </c>
      <c r="O182" s="9">
        <f t="shared" si="17"/>
        <v>2</v>
      </c>
      <c r="P182" s="9">
        <f t="shared" si="18"/>
        <v>0</v>
      </c>
      <c r="Q182" s="9">
        <f t="shared" si="19"/>
        <v>2</v>
      </c>
      <c r="R182" s="9">
        <f t="shared" si="20"/>
        <v>-28</v>
      </c>
      <c r="S182" s="134">
        <v>29</v>
      </c>
      <c r="T182" s="8">
        <f t="shared" si="21"/>
        <v>0</v>
      </c>
      <c r="U182" s="8">
        <f t="shared" si="22"/>
        <v>-33287.799999999996</v>
      </c>
      <c r="V182" s="134">
        <f t="shared" si="23"/>
        <v>129</v>
      </c>
      <c r="Y182" s="8"/>
    </row>
    <row r="183" spans="1:25" ht="11.25">
      <c r="A183" s="144" t="s">
        <v>529</v>
      </c>
      <c r="B183" s="14">
        <v>42794</v>
      </c>
      <c r="C183" s="144" t="s">
        <v>530</v>
      </c>
      <c r="D183" s="145">
        <v>1807.5</v>
      </c>
      <c r="K183" s="14">
        <v>42794</v>
      </c>
      <c r="M183" s="14">
        <f t="shared" si="16"/>
        <v>42794</v>
      </c>
      <c r="N183" s="14">
        <v>42794</v>
      </c>
      <c r="O183" s="9">
        <f t="shared" si="17"/>
        <v>0</v>
      </c>
      <c r="P183" s="9">
        <f t="shared" si="18"/>
        <v>0</v>
      </c>
      <c r="Q183" s="9">
        <f t="shared" si="19"/>
        <v>0</v>
      </c>
      <c r="R183" s="9">
        <f t="shared" si="20"/>
        <v>-30</v>
      </c>
      <c r="S183" s="134">
        <v>29</v>
      </c>
      <c r="T183" s="8">
        <f t="shared" si="21"/>
        <v>0</v>
      </c>
      <c r="U183" s="8">
        <f t="shared" si="22"/>
        <v>-54225</v>
      </c>
      <c r="V183" s="134">
        <f t="shared" si="23"/>
        <v>129</v>
      </c>
      <c r="Y183" s="8"/>
    </row>
    <row r="184" spans="1:25" ht="11.25">
      <c r="A184" s="144" t="s">
        <v>531</v>
      </c>
      <c r="B184" s="14">
        <v>42794</v>
      </c>
      <c r="C184" s="144" t="s">
        <v>532</v>
      </c>
      <c r="D184" s="145">
        <v>447.71</v>
      </c>
      <c r="K184" s="14">
        <v>42807</v>
      </c>
      <c r="M184" s="14">
        <f t="shared" si="16"/>
        <v>42814</v>
      </c>
      <c r="N184" s="14">
        <v>42814</v>
      </c>
      <c r="O184" s="9">
        <f t="shared" si="17"/>
        <v>7</v>
      </c>
      <c r="P184" s="9">
        <f t="shared" si="18"/>
        <v>0</v>
      </c>
      <c r="Q184" s="9">
        <f t="shared" si="19"/>
        <v>7</v>
      </c>
      <c r="R184" s="9">
        <f t="shared" si="20"/>
        <v>-23</v>
      </c>
      <c r="S184" s="134">
        <v>20</v>
      </c>
      <c r="T184" s="8">
        <f t="shared" si="21"/>
        <v>0</v>
      </c>
      <c r="U184" s="8">
        <f t="shared" si="22"/>
        <v>-10297.33</v>
      </c>
      <c r="V184" s="134">
        <f t="shared" si="23"/>
        <v>120</v>
      </c>
      <c r="Y184" s="8"/>
    </row>
    <row r="185" spans="1:25" ht="11.25">
      <c r="A185" s="144" t="s">
        <v>533</v>
      </c>
      <c r="B185" s="14">
        <v>42794</v>
      </c>
      <c r="C185" s="144" t="s">
        <v>534</v>
      </c>
      <c r="D185" s="145">
        <v>137.04</v>
      </c>
      <c r="K185" s="14">
        <v>42800</v>
      </c>
      <c r="M185" s="14">
        <f t="shared" si="16"/>
        <v>42800</v>
      </c>
      <c r="N185" s="14">
        <v>42800</v>
      </c>
      <c r="O185" s="9">
        <f t="shared" si="17"/>
        <v>0</v>
      </c>
      <c r="P185" s="9">
        <f t="shared" si="18"/>
        <v>0</v>
      </c>
      <c r="Q185" s="9">
        <f t="shared" si="19"/>
        <v>0</v>
      </c>
      <c r="R185" s="9">
        <f t="shared" si="20"/>
        <v>-30</v>
      </c>
      <c r="S185" s="134">
        <v>29</v>
      </c>
      <c r="T185" s="8">
        <f t="shared" si="21"/>
        <v>0</v>
      </c>
      <c r="U185" s="8">
        <f t="shared" si="22"/>
        <v>-4111.2</v>
      </c>
      <c r="V185" s="134">
        <f t="shared" si="23"/>
        <v>129</v>
      </c>
      <c r="Y185" s="8"/>
    </row>
    <row r="186" spans="1:25" ht="11.25">
      <c r="A186" s="144" t="s">
        <v>535</v>
      </c>
      <c r="B186" s="14">
        <v>42825</v>
      </c>
      <c r="C186" s="144" t="s">
        <v>536</v>
      </c>
      <c r="D186" s="145">
        <v>2760</v>
      </c>
      <c r="K186" s="14">
        <v>42809</v>
      </c>
      <c r="M186" s="14">
        <f t="shared" si="16"/>
        <v>42825</v>
      </c>
      <c r="N186" s="14">
        <v>42825</v>
      </c>
      <c r="O186" s="9">
        <f t="shared" si="17"/>
        <v>16</v>
      </c>
      <c r="P186" s="9">
        <f t="shared" si="18"/>
        <v>0</v>
      </c>
      <c r="Q186" s="9">
        <f t="shared" si="19"/>
        <v>16</v>
      </c>
      <c r="R186" s="9">
        <f t="shared" si="20"/>
        <v>-14</v>
      </c>
      <c r="S186" s="134">
        <v>29</v>
      </c>
      <c r="T186" s="8">
        <f t="shared" si="21"/>
        <v>0</v>
      </c>
      <c r="U186" s="8">
        <f t="shared" si="22"/>
        <v>-38640</v>
      </c>
      <c r="V186" s="134">
        <f t="shared" si="23"/>
        <v>129</v>
      </c>
      <c r="Y186" s="8"/>
    </row>
    <row r="187" spans="1:25" ht="11.25">
      <c r="A187" s="144" t="s">
        <v>537</v>
      </c>
      <c r="B187" s="14">
        <v>42762</v>
      </c>
      <c r="C187" s="144" t="s">
        <v>538</v>
      </c>
      <c r="D187" s="145">
        <v>63.91</v>
      </c>
      <c r="K187" s="14">
        <v>42780</v>
      </c>
      <c r="M187" s="14">
        <f t="shared" si="16"/>
        <v>42780</v>
      </c>
      <c r="N187" s="14">
        <v>42780</v>
      </c>
      <c r="O187" s="9">
        <f t="shared" si="17"/>
        <v>0</v>
      </c>
      <c r="P187" s="9">
        <f t="shared" si="18"/>
        <v>0</v>
      </c>
      <c r="Q187" s="9">
        <f t="shared" si="19"/>
        <v>0</v>
      </c>
      <c r="R187" s="9">
        <f t="shared" si="20"/>
        <v>-30</v>
      </c>
      <c r="S187" s="134">
        <v>22</v>
      </c>
      <c r="T187" s="8">
        <f t="shared" si="21"/>
        <v>0</v>
      </c>
      <c r="U187" s="8">
        <f t="shared" si="22"/>
        <v>-1917.3</v>
      </c>
      <c r="V187" s="134">
        <f t="shared" si="23"/>
        <v>122</v>
      </c>
      <c r="Y187" s="8"/>
    </row>
    <row r="188" spans="1:25" ht="11.25">
      <c r="A188" s="144" t="s">
        <v>539</v>
      </c>
      <c r="B188" s="14">
        <v>42798</v>
      </c>
      <c r="C188" s="144" t="s">
        <v>540</v>
      </c>
      <c r="D188" s="145">
        <v>677.6</v>
      </c>
      <c r="K188" s="14">
        <v>42809</v>
      </c>
      <c r="M188" s="14">
        <f t="shared" si="16"/>
        <v>42825</v>
      </c>
      <c r="N188" s="14">
        <v>42825</v>
      </c>
      <c r="O188" s="9">
        <f t="shared" si="17"/>
        <v>16</v>
      </c>
      <c r="P188" s="9">
        <f t="shared" si="18"/>
        <v>0</v>
      </c>
      <c r="Q188" s="9">
        <f t="shared" si="19"/>
        <v>16</v>
      </c>
      <c r="R188" s="9">
        <f t="shared" si="20"/>
        <v>-14</v>
      </c>
      <c r="S188" s="134">
        <v>29</v>
      </c>
      <c r="T188" s="8">
        <f t="shared" si="21"/>
        <v>0</v>
      </c>
      <c r="U188" s="8">
        <f t="shared" si="22"/>
        <v>-9486.4</v>
      </c>
      <c r="V188" s="134">
        <f t="shared" si="23"/>
        <v>129</v>
      </c>
      <c r="Y188" s="8"/>
    </row>
    <row r="189" spans="1:25" ht="11.25">
      <c r="A189" s="144" t="s">
        <v>541</v>
      </c>
      <c r="B189" s="14">
        <v>42789</v>
      </c>
      <c r="C189" s="144" t="s">
        <v>542</v>
      </c>
      <c r="D189" s="145">
        <v>353.13</v>
      </c>
      <c r="K189" s="14">
        <v>42809</v>
      </c>
      <c r="M189" s="14">
        <f t="shared" si="16"/>
        <v>42821</v>
      </c>
      <c r="N189" s="14">
        <v>42821</v>
      </c>
      <c r="O189" s="9">
        <f t="shared" si="17"/>
        <v>12</v>
      </c>
      <c r="P189" s="9">
        <f t="shared" si="18"/>
        <v>0</v>
      </c>
      <c r="Q189" s="9">
        <f t="shared" si="19"/>
        <v>12</v>
      </c>
      <c r="R189" s="9">
        <f t="shared" si="20"/>
        <v>-18</v>
      </c>
      <c r="S189" s="134">
        <v>21</v>
      </c>
      <c r="T189" s="8">
        <f t="shared" si="21"/>
        <v>0</v>
      </c>
      <c r="U189" s="8">
        <f t="shared" si="22"/>
        <v>-6356.34</v>
      </c>
      <c r="V189" s="134">
        <f t="shared" si="23"/>
        <v>121</v>
      </c>
      <c r="Y189" s="8"/>
    </row>
    <row r="190" spans="1:25" ht="11.25">
      <c r="A190" s="144" t="s">
        <v>543</v>
      </c>
      <c r="B190" s="14">
        <v>42804</v>
      </c>
      <c r="C190" s="144" t="s">
        <v>544</v>
      </c>
      <c r="D190" s="145">
        <v>101.65</v>
      </c>
      <c r="K190" s="14">
        <v>42809</v>
      </c>
      <c r="M190" s="14">
        <f t="shared" si="16"/>
        <v>42814</v>
      </c>
      <c r="N190" s="14">
        <v>42814</v>
      </c>
      <c r="O190" s="9">
        <f t="shared" si="17"/>
        <v>5</v>
      </c>
      <c r="P190" s="9">
        <f t="shared" si="18"/>
        <v>0</v>
      </c>
      <c r="Q190" s="9">
        <f t="shared" si="19"/>
        <v>5</v>
      </c>
      <c r="R190" s="9">
        <f t="shared" si="20"/>
        <v>-25</v>
      </c>
      <c r="S190" s="134">
        <v>22</v>
      </c>
      <c r="T190" s="8">
        <f t="shared" si="21"/>
        <v>0</v>
      </c>
      <c r="U190" s="8">
        <f t="shared" si="22"/>
        <v>-2541.25</v>
      </c>
      <c r="V190" s="134">
        <f t="shared" si="23"/>
        <v>122</v>
      </c>
      <c r="Y190" s="8"/>
    </row>
    <row r="191" spans="1:25" ht="11.25">
      <c r="A191" s="144" t="s">
        <v>545</v>
      </c>
      <c r="B191" s="14">
        <v>42738</v>
      </c>
      <c r="C191" s="144" t="s">
        <v>546</v>
      </c>
      <c r="D191" s="145">
        <v>54</v>
      </c>
      <c r="K191" s="14">
        <v>42738</v>
      </c>
      <c r="M191" s="14">
        <f t="shared" si="16"/>
        <v>42738</v>
      </c>
      <c r="N191" s="14">
        <v>42738</v>
      </c>
      <c r="O191" s="9">
        <f t="shared" si="17"/>
        <v>0</v>
      </c>
      <c r="P191" s="9">
        <f t="shared" si="18"/>
        <v>0</v>
      </c>
      <c r="Q191" s="9">
        <f t="shared" si="19"/>
        <v>0</v>
      </c>
      <c r="R191" s="9">
        <f t="shared" si="20"/>
        <v>-30</v>
      </c>
      <c r="S191" s="134">
        <v>29</v>
      </c>
      <c r="T191" s="8">
        <f t="shared" si="21"/>
        <v>0</v>
      </c>
      <c r="U191" s="8">
        <f t="shared" si="22"/>
        <v>-1620</v>
      </c>
      <c r="V191" s="134">
        <f t="shared" si="23"/>
        <v>129</v>
      </c>
      <c r="Y191" s="8"/>
    </row>
    <row r="192" spans="1:25" ht="11.25">
      <c r="A192" s="144" t="s">
        <v>547</v>
      </c>
      <c r="B192" s="14">
        <v>42738</v>
      </c>
      <c r="C192" s="144" t="s">
        <v>548</v>
      </c>
      <c r="D192" s="145">
        <v>27.6</v>
      </c>
      <c r="K192" s="14">
        <v>42738</v>
      </c>
      <c r="M192" s="14">
        <f t="shared" si="16"/>
        <v>42738</v>
      </c>
      <c r="N192" s="14">
        <v>42738</v>
      </c>
      <c r="O192" s="9">
        <f t="shared" si="17"/>
        <v>0</v>
      </c>
      <c r="P192" s="9">
        <f t="shared" si="18"/>
        <v>0</v>
      </c>
      <c r="Q192" s="9">
        <f t="shared" si="19"/>
        <v>0</v>
      </c>
      <c r="R192" s="9">
        <f t="shared" si="20"/>
        <v>-30</v>
      </c>
      <c r="S192" s="134">
        <v>29</v>
      </c>
      <c r="T192" s="8">
        <f t="shared" si="21"/>
        <v>0</v>
      </c>
      <c r="U192" s="8">
        <f t="shared" si="22"/>
        <v>-828</v>
      </c>
      <c r="V192" s="134">
        <f t="shared" si="23"/>
        <v>129</v>
      </c>
      <c r="Y192" s="8"/>
    </row>
    <row r="193" spans="1:25" ht="11.25">
      <c r="A193" s="144" t="s">
        <v>549</v>
      </c>
      <c r="B193" s="14">
        <v>42739</v>
      </c>
      <c r="C193" s="144" t="s">
        <v>550</v>
      </c>
      <c r="D193" s="145">
        <v>4.45</v>
      </c>
      <c r="K193" s="14">
        <v>42739</v>
      </c>
      <c r="M193" s="14">
        <f t="shared" si="16"/>
        <v>42739</v>
      </c>
      <c r="N193" s="14">
        <v>42739</v>
      </c>
      <c r="O193" s="9">
        <f t="shared" si="17"/>
        <v>0</v>
      </c>
      <c r="P193" s="9">
        <f t="shared" si="18"/>
        <v>0</v>
      </c>
      <c r="Q193" s="9">
        <f t="shared" si="19"/>
        <v>0</v>
      </c>
      <c r="R193" s="9">
        <f t="shared" si="20"/>
        <v>-30</v>
      </c>
      <c r="S193" s="134">
        <v>29</v>
      </c>
      <c r="T193" s="8">
        <f t="shared" si="21"/>
        <v>0</v>
      </c>
      <c r="U193" s="8">
        <f t="shared" si="22"/>
        <v>-133.5</v>
      </c>
      <c r="V193" s="134">
        <f t="shared" si="23"/>
        <v>129</v>
      </c>
      <c r="Y193" s="8"/>
    </row>
    <row r="194" spans="1:25" ht="11.25">
      <c r="A194" s="144" t="s">
        <v>551</v>
      </c>
      <c r="B194" s="14">
        <v>42775</v>
      </c>
      <c r="C194" s="144" t="s">
        <v>552</v>
      </c>
      <c r="D194" s="145">
        <v>114.05</v>
      </c>
      <c r="K194" s="14">
        <v>42775</v>
      </c>
      <c r="M194" s="14">
        <f t="shared" si="16"/>
        <v>42775</v>
      </c>
      <c r="N194" s="14">
        <v>42775</v>
      </c>
      <c r="O194" s="9">
        <f t="shared" si="17"/>
        <v>0</v>
      </c>
      <c r="P194" s="9">
        <f t="shared" si="18"/>
        <v>0</v>
      </c>
      <c r="Q194" s="9">
        <f t="shared" si="19"/>
        <v>0</v>
      </c>
      <c r="R194" s="9">
        <f t="shared" si="20"/>
        <v>-30</v>
      </c>
      <c r="S194" s="134">
        <v>29</v>
      </c>
      <c r="T194" s="8">
        <f t="shared" si="21"/>
        <v>0</v>
      </c>
      <c r="U194" s="8">
        <f t="shared" si="22"/>
        <v>-3421.5</v>
      </c>
      <c r="V194" s="134">
        <f t="shared" si="23"/>
        <v>129</v>
      </c>
      <c r="Y194" s="8"/>
    </row>
    <row r="195" spans="1:25" ht="11.25">
      <c r="A195" s="144" t="s">
        <v>553</v>
      </c>
      <c r="B195" s="14">
        <v>42801</v>
      </c>
      <c r="C195" s="144" t="s">
        <v>554</v>
      </c>
      <c r="D195" s="145">
        <v>92.99</v>
      </c>
      <c r="K195" s="14">
        <v>42801</v>
      </c>
      <c r="M195" s="14">
        <f t="shared" si="16"/>
        <v>42801</v>
      </c>
      <c r="N195" s="14">
        <v>42801</v>
      </c>
      <c r="O195" s="9">
        <f t="shared" si="17"/>
        <v>0</v>
      </c>
      <c r="P195" s="9">
        <f t="shared" si="18"/>
        <v>0</v>
      </c>
      <c r="Q195" s="9">
        <f t="shared" si="19"/>
        <v>0</v>
      </c>
      <c r="R195" s="9">
        <f t="shared" si="20"/>
        <v>-30</v>
      </c>
      <c r="S195" s="134">
        <v>29</v>
      </c>
      <c r="T195" s="8">
        <f t="shared" si="21"/>
        <v>0</v>
      </c>
      <c r="U195" s="8">
        <f t="shared" si="22"/>
        <v>-2789.7</v>
      </c>
      <c r="V195" s="134">
        <f t="shared" si="23"/>
        <v>129</v>
      </c>
      <c r="Y195" s="8"/>
    </row>
    <row r="196" spans="1:25" ht="11.25">
      <c r="A196" s="144" t="s">
        <v>555</v>
      </c>
      <c r="B196" s="14">
        <v>42804</v>
      </c>
      <c r="C196" s="144" t="s">
        <v>556</v>
      </c>
      <c r="D196" s="145">
        <v>100.71</v>
      </c>
      <c r="K196" s="14">
        <v>42804</v>
      </c>
      <c r="M196" s="14">
        <f t="shared" si="16"/>
        <v>42804</v>
      </c>
      <c r="N196" s="14">
        <v>42804</v>
      </c>
      <c r="O196" s="9">
        <f t="shared" si="17"/>
        <v>0</v>
      </c>
      <c r="P196" s="9">
        <f t="shared" si="18"/>
        <v>0</v>
      </c>
      <c r="Q196" s="9">
        <f t="shared" si="19"/>
        <v>0</v>
      </c>
      <c r="R196" s="9">
        <f t="shared" si="20"/>
        <v>-30</v>
      </c>
      <c r="S196" s="134">
        <v>22</v>
      </c>
      <c r="T196" s="8">
        <f t="shared" si="21"/>
        <v>0</v>
      </c>
      <c r="U196" s="8">
        <f t="shared" si="22"/>
        <v>-3021.2999999999997</v>
      </c>
      <c r="V196" s="134">
        <f t="shared" si="23"/>
        <v>122</v>
      </c>
      <c r="Y196" s="8"/>
    </row>
    <row r="197" spans="1:25" ht="11.25">
      <c r="A197" s="144" t="s">
        <v>557</v>
      </c>
      <c r="B197" s="14">
        <v>42804</v>
      </c>
      <c r="C197" s="144" t="s">
        <v>558</v>
      </c>
      <c r="D197" s="145">
        <v>125.55</v>
      </c>
      <c r="K197" s="14">
        <v>42804</v>
      </c>
      <c r="M197" s="14">
        <f t="shared" si="16"/>
        <v>42804</v>
      </c>
      <c r="N197" s="14">
        <v>42804</v>
      </c>
      <c r="O197" s="9">
        <f t="shared" si="17"/>
        <v>0</v>
      </c>
      <c r="P197" s="9">
        <f t="shared" si="18"/>
        <v>0</v>
      </c>
      <c r="Q197" s="9">
        <f t="shared" si="19"/>
        <v>0</v>
      </c>
      <c r="R197" s="9">
        <f t="shared" si="20"/>
        <v>-30</v>
      </c>
      <c r="S197" s="134">
        <v>22</v>
      </c>
      <c r="T197" s="8">
        <f t="shared" si="21"/>
        <v>0</v>
      </c>
      <c r="U197" s="8">
        <f t="shared" si="22"/>
        <v>-3766.5</v>
      </c>
      <c r="V197" s="134">
        <f t="shared" si="23"/>
        <v>122</v>
      </c>
      <c r="Y197" s="8"/>
    </row>
    <row r="198" spans="1:25" ht="11.25">
      <c r="A198" s="144" t="s">
        <v>559</v>
      </c>
      <c r="B198" s="14">
        <v>42795</v>
      </c>
      <c r="C198" s="144" t="s">
        <v>560</v>
      </c>
      <c r="D198" s="145">
        <v>64</v>
      </c>
      <c r="K198" s="14">
        <v>42795</v>
      </c>
      <c r="M198" s="14">
        <f aca="true" t="shared" si="24" ref="M198:M249">+N198</f>
        <v>42795</v>
      </c>
      <c r="N198" s="14">
        <v>42795</v>
      </c>
      <c r="O198" s="9">
        <f aca="true" t="shared" si="25" ref="O198:O249">+M198-K198</f>
        <v>0</v>
      </c>
      <c r="P198" s="9">
        <f aca="true" t="shared" si="26" ref="P198:P244">+N198-M198</f>
        <v>0</v>
      </c>
      <c r="Q198" s="9">
        <f aca="true" t="shared" si="27" ref="Q198:Q244">+N198-K198</f>
        <v>0</v>
      </c>
      <c r="R198" s="9">
        <f aca="true" t="shared" si="28" ref="R198:R244">+Q198-30</f>
        <v>-30</v>
      </c>
      <c r="S198" s="134">
        <v>29</v>
      </c>
      <c r="T198" s="8">
        <f aca="true" t="shared" si="29" ref="T198:T244">+P198*D198</f>
        <v>0</v>
      </c>
      <c r="U198" s="8">
        <f t="shared" si="22"/>
        <v>-1920</v>
      </c>
      <c r="V198" s="134">
        <f t="shared" si="23"/>
        <v>129</v>
      </c>
      <c r="Y198" s="8"/>
    </row>
    <row r="199" spans="1:25" ht="11.25">
      <c r="A199" s="144" t="s">
        <v>561</v>
      </c>
      <c r="B199" s="14">
        <v>42794</v>
      </c>
      <c r="C199" s="144" t="s">
        <v>562</v>
      </c>
      <c r="D199" s="145">
        <v>329.5</v>
      </c>
      <c r="K199" s="14">
        <v>42817</v>
      </c>
      <c r="M199" s="14">
        <f t="shared" si="24"/>
        <v>42825</v>
      </c>
      <c r="N199" s="14">
        <v>42825</v>
      </c>
      <c r="O199" s="9">
        <f t="shared" si="25"/>
        <v>8</v>
      </c>
      <c r="P199" s="9">
        <f t="shared" si="26"/>
        <v>0</v>
      </c>
      <c r="Q199" s="9">
        <f t="shared" si="27"/>
        <v>8</v>
      </c>
      <c r="R199" s="9">
        <f t="shared" si="28"/>
        <v>-22</v>
      </c>
      <c r="S199" s="134">
        <v>20</v>
      </c>
      <c r="T199" s="8">
        <f t="shared" si="29"/>
        <v>0</v>
      </c>
      <c r="U199" s="8">
        <f aca="true" t="shared" si="30" ref="U199:U249">+R199*D199</f>
        <v>-7249</v>
      </c>
      <c r="V199" s="134">
        <f aca="true" t="shared" si="31" ref="V199:V248">IF(P199&gt;30,200+S199,100+S199)</f>
        <v>120</v>
      </c>
      <c r="Y199" s="8"/>
    </row>
    <row r="200" spans="1:25" ht="11.25">
      <c r="A200" s="144" t="s">
        <v>563</v>
      </c>
      <c r="B200" s="14">
        <v>42794</v>
      </c>
      <c r="C200" s="144" t="s">
        <v>564</v>
      </c>
      <c r="D200" s="145">
        <v>68.87</v>
      </c>
      <c r="K200" s="14">
        <v>42817</v>
      </c>
      <c r="M200" s="14">
        <f t="shared" si="24"/>
        <v>42821</v>
      </c>
      <c r="N200" s="14">
        <v>42821</v>
      </c>
      <c r="O200" s="9">
        <f t="shared" si="25"/>
        <v>4</v>
      </c>
      <c r="P200" s="9">
        <f t="shared" si="26"/>
        <v>0</v>
      </c>
      <c r="Q200" s="9">
        <f t="shared" si="27"/>
        <v>4</v>
      </c>
      <c r="R200" s="9">
        <f t="shared" si="28"/>
        <v>-26</v>
      </c>
      <c r="S200" s="134">
        <v>21</v>
      </c>
      <c r="T200" s="8">
        <f t="shared" si="29"/>
        <v>0</v>
      </c>
      <c r="U200" s="8">
        <f t="shared" si="30"/>
        <v>-1790.6200000000001</v>
      </c>
      <c r="V200" s="134">
        <f t="shared" si="31"/>
        <v>121</v>
      </c>
      <c r="Y200" s="8"/>
    </row>
    <row r="201" spans="1:25" ht="11.25">
      <c r="A201" s="144" t="s">
        <v>565</v>
      </c>
      <c r="B201" s="14">
        <v>42803</v>
      </c>
      <c r="C201" s="144" t="s">
        <v>566</v>
      </c>
      <c r="D201" s="145">
        <v>9.68</v>
      </c>
      <c r="K201" s="14">
        <v>42817</v>
      </c>
      <c r="M201" s="14">
        <f t="shared" si="24"/>
        <v>42825</v>
      </c>
      <c r="N201" s="14">
        <v>42825</v>
      </c>
      <c r="O201" s="9">
        <f t="shared" si="25"/>
        <v>8</v>
      </c>
      <c r="P201" s="9">
        <f t="shared" si="26"/>
        <v>0</v>
      </c>
      <c r="Q201" s="9">
        <f t="shared" si="27"/>
        <v>8</v>
      </c>
      <c r="R201" s="9">
        <f t="shared" si="28"/>
        <v>-22</v>
      </c>
      <c r="S201" s="134">
        <v>22</v>
      </c>
      <c r="T201" s="8">
        <f t="shared" si="29"/>
        <v>0</v>
      </c>
      <c r="U201" s="8">
        <f t="shared" si="30"/>
        <v>-212.95999999999998</v>
      </c>
      <c r="V201" s="134">
        <f t="shared" si="31"/>
        <v>122</v>
      </c>
      <c r="Y201" s="8"/>
    </row>
    <row r="202" spans="1:25" ht="11.25">
      <c r="A202" s="144" t="s">
        <v>567</v>
      </c>
      <c r="B202" s="14">
        <v>42811</v>
      </c>
      <c r="C202" s="144" t="s">
        <v>568</v>
      </c>
      <c r="D202" s="145">
        <v>716.63</v>
      </c>
      <c r="K202" s="14">
        <v>42817</v>
      </c>
      <c r="M202" s="14">
        <f t="shared" si="24"/>
        <v>42825</v>
      </c>
      <c r="N202" s="14">
        <v>42825</v>
      </c>
      <c r="O202" s="9">
        <f t="shared" si="25"/>
        <v>8</v>
      </c>
      <c r="P202" s="9">
        <f t="shared" si="26"/>
        <v>0</v>
      </c>
      <c r="Q202" s="9">
        <f t="shared" si="27"/>
        <v>8</v>
      </c>
      <c r="R202" s="9">
        <f t="shared" si="28"/>
        <v>-22</v>
      </c>
      <c r="S202" s="134">
        <v>22</v>
      </c>
      <c r="T202" s="8">
        <f t="shared" si="29"/>
        <v>0</v>
      </c>
      <c r="U202" s="8">
        <f t="shared" si="30"/>
        <v>-15765.86</v>
      </c>
      <c r="V202" s="134">
        <f t="shared" si="31"/>
        <v>122</v>
      </c>
      <c r="Y202" s="8"/>
    </row>
    <row r="203" spans="1:25" ht="11.25">
      <c r="A203" s="144" t="s">
        <v>569</v>
      </c>
      <c r="B203" s="14">
        <v>42804</v>
      </c>
      <c r="C203" s="144" t="s">
        <v>570</v>
      </c>
      <c r="D203" s="145">
        <v>571.21</v>
      </c>
      <c r="K203" s="14">
        <v>42817</v>
      </c>
      <c r="M203" s="14">
        <f t="shared" si="24"/>
        <v>42825</v>
      </c>
      <c r="N203" s="14">
        <v>42825</v>
      </c>
      <c r="O203" s="9">
        <f t="shared" si="25"/>
        <v>8</v>
      </c>
      <c r="P203" s="9">
        <f t="shared" si="26"/>
        <v>0</v>
      </c>
      <c r="Q203" s="9">
        <f t="shared" si="27"/>
        <v>8</v>
      </c>
      <c r="R203" s="9">
        <f t="shared" si="28"/>
        <v>-22</v>
      </c>
      <c r="S203" s="134">
        <v>22</v>
      </c>
      <c r="T203" s="8">
        <f t="shared" si="29"/>
        <v>0</v>
      </c>
      <c r="U203" s="8">
        <f t="shared" si="30"/>
        <v>-12566.62</v>
      </c>
      <c r="V203" s="134">
        <f t="shared" si="31"/>
        <v>122</v>
      </c>
      <c r="Y203" s="8"/>
    </row>
    <row r="204" spans="1:25" ht="11.25">
      <c r="A204" s="144" t="s">
        <v>571</v>
      </c>
      <c r="B204" s="14">
        <v>42796</v>
      </c>
      <c r="C204" s="144" t="s">
        <v>572</v>
      </c>
      <c r="D204" s="145">
        <v>229.14</v>
      </c>
      <c r="K204" s="14">
        <v>42817</v>
      </c>
      <c r="M204" s="14">
        <f t="shared" si="24"/>
        <v>42825</v>
      </c>
      <c r="N204" s="14">
        <v>42825</v>
      </c>
      <c r="O204" s="9">
        <f t="shared" si="25"/>
        <v>8</v>
      </c>
      <c r="P204" s="9">
        <f t="shared" si="26"/>
        <v>0</v>
      </c>
      <c r="Q204" s="9">
        <f t="shared" si="27"/>
        <v>8</v>
      </c>
      <c r="R204" s="9">
        <f t="shared" si="28"/>
        <v>-22</v>
      </c>
      <c r="S204" s="134">
        <v>22</v>
      </c>
      <c r="T204" s="8">
        <f t="shared" si="29"/>
        <v>0</v>
      </c>
      <c r="U204" s="8">
        <f t="shared" si="30"/>
        <v>-5041.08</v>
      </c>
      <c r="V204" s="134">
        <f t="shared" si="31"/>
        <v>122</v>
      </c>
      <c r="Y204" s="8"/>
    </row>
    <row r="205" spans="1:25" ht="11.25">
      <c r="A205" s="144" t="s">
        <v>573</v>
      </c>
      <c r="B205" s="14">
        <v>42804</v>
      </c>
      <c r="C205" s="144" t="s">
        <v>574</v>
      </c>
      <c r="D205" s="145">
        <v>219.07</v>
      </c>
      <c r="K205" s="14">
        <v>42817</v>
      </c>
      <c r="M205" s="14">
        <f t="shared" si="24"/>
        <v>42825</v>
      </c>
      <c r="N205" s="14">
        <v>42825</v>
      </c>
      <c r="O205" s="9">
        <f t="shared" si="25"/>
        <v>8</v>
      </c>
      <c r="P205" s="9">
        <f t="shared" si="26"/>
        <v>0</v>
      </c>
      <c r="Q205" s="9">
        <f t="shared" si="27"/>
        <v>8</v>
      </c>
      <c r="R205" s="9">
        <f t="shared" si="28"/>
        <v>-22</v>
      </c>
      <c r="S205" s="134">
        <v>22</v>
      </c>
      <c r="T205" s="8">
        <f t="shared" si="29"/>
        <v>0</v>
      </c>
      <c r="U205" s="8">
        <f t="shared" si="30"/>
        <v>-4819.54</v>
      </c>
      <c r="V205" s="134">
        <f t="shared" si="31"/>
        <v>122</v>
      </c>
      <c r="Y205" s="8"/>
    </row>
    <row r="206" spans="1:25" ht="11.25">
      <c r="A206" s="144" t="s">
        <v>575</v>
      </c>
      <c r="B206" s="14">
        <v>42793</v>
      </c>
      <c r="C206" s="144" t="s">
        <v>576</v>
      </c>
      <c r="D206" s="145">
        <v>26.14</v>
      </c>
      <c r="K206" s="14">
        <v>42817</v>
      </c>
      <c r="M206" s="14">
        <f t="shared" si="24"/>
        <v>42825</v>
      </c>
      <c r="N206" s="14">
        <v>42825</v>
      </c>
      <c r="O206" s="9">
        <f t="shared" si="25"/>
        <v>8</v>
      </c>
      <c r="P206" s="9">
        <f t="shared" si="26"/>
        <v>0</v>
      </c>
      <c r="Q206" s="9">
        <f t="shared" si="27"/>
        <v>8</v>
      </c>
      <c r="R206" s="9">
        <f t="shared" si="28"/>
        <v>-22</v>
      </c>
      <c r="S206" s="134">
        <v>22</v>
      </c>
      <c r="T206" s="8">
        <f t="shared" si="29"/>
        <v>0</v>
      </c>
      <c r="U206" s="8">
        <f t="shared" si="30"/>
        <v>-575.08</v>
      </c>
      <c r="V206" s="134">
        <f t="shared" si="31"/>
        <v>122</v>
      </c>
      <c r="Y206" s="8"/>
    </row>
    <row r="207" spans="1:25" ht="11.25">
      <c r="A207" s="144" t="s">
        <v>577</v>
      </c>
      <c r="B207" s="14">
        <v>42797</v>
      </c>
      <c r="C207" s="144" t="s">
        <v>578</v>
      </c>
      <c r="D207" s="145">
        <v>13.49</v>
      </c>
      <c r="K207" s="14">
        <v>42817</v>
      </c>
      <c r="M207" s="14">
        <f t="shared" si="24"/>
        <v>42825</v>
      </c>
      <c r="N207" s="14">
        <v>42825</v>
      </c>
      <c r="O207" s="9">
        <f t="shared" si="25"/>
        <v>8</v>
      </c>
      <c r="P207" s="9">
        <f t="shared" si="26"/>
        <v>0</v>
      </c>
      <c r="Q207" s="9">
        <f t="shared" si="27"/>
        <v>8</v>
      </c>
      <c r="R207" s="9">
        <f t="shared" si="28"/>
        <v>-22</v>
      </c>
      <c r="S207" s="134">
        <v>22</v>
      </c>
      <c r="T207" s="8">
        <f t="shared" si="29"/>
        <v>0</v>
      </c>
      <c r="U207" s="8">
        <f t="shared" si="30"/>
        <v>-296.78000000000003</v>
      </c>
      <c r="V207" s="134">
        <f t="shared" si="31"/>
        <v>122</v>
      </c>
      <c r="Y207" s="8"/>
    </row>
    <row r="208" spans="1:25" ht="11.25">
      <c r="A208" s="144" t="s">
        <v>579</v>
      </c>
      <c r="B208" s="14">
        <v>42802</v>
      </c>
      <c r="C208" s="144" t="s">
        <v>580</v>
      </c>
      <c r="D208" s="145">
        <v>1.33</v>
      </c>
      <c r="K208" s="14">
        <v>42817</v>
      </c>
      <c r="M208" s="14">
        <f t="shared" si="24"/>
        <v>42825</v>
      </c>
      <c r="N208" s="14">
        <v>42825</v>
      </c>
      <c r="O208" s="9">
        <f t="shared" si="25"/>
        <v>8</v>
      </c>
      <c r="P208" s="9">
        <f t="shared" si="26"/>
        <v>0</v>
      </c>
      <c r="Q208" s="9">
        <f t="shared" si="27"/>
        <v>8</v>
      </c>
      <c r="R208" s="9">
        <f t="shared" si="28"/>
        <v>-22</v>
      </c>
      <c r="S208" s="134">
        <v>22</v>
      </c>
      <c r="T208" s="8">
        <f t="shared" si="29"/>
        <v>0</v>
      </c>
      <c r="U208" s="8">
        <f t="shared" si="30"/>
        <v>-29.26</v>
      </c>
      <c r="V208" s="134">
        <f t="shared" si="31"/>
        <v>122</v>
      </c>
      <c r="Y208" s="8"/>
    </row>
    <row r="209" spans="1:25" ht="11.25">
      <c r="A209" s="144" t="s">
        <v>581</v>
      </c>
      <c r="B209" s="14">
        <v>42797</v>
      </c>
      <c r="C209" s="144" t="s">
        <v>582</v>
      </c>
      <c r="D209" s="145">
        <v>59.05</v>
      </c>
      <c r="K209" s="14">
        <v>42817</v>
      </c>
      <c r="M209" s="14">
        <f t="shared" si="24"/>
        <v>42825</v>
      </c>
      <c r="N209" s="14">
        <v>42825</v>
      </c>
      <c r="O209" s="9">
        <f t="shared" si="25"/>
        <v>8</v>
      </c>
      <c r="P209" s="9">
        <f t="shared" si="26"/>
        <v>0</v>
      </c>
      <c r="Q209" s="9">
        <f t="shared" si="27"/>
        <v>8</v>
      </c>
      <c r="R209" s="9">
        <f t="shared" si="28"/>
        <v>-22</v>
      </c>
      <c r="S209" s="134">
        <v>22</v>
      </c>
      <c r="T209" s="8">
        <f t="shared" si="29"/>
        <v>0</v>
      </c>
      <c r="U209" s="8">
        <f t="shared" si="30"/>
        <v>-1299.1</v>
      </c>
      <c r="V209" s="134">
        <f t="shared" si="31"/>
        <v>122</v>
      </c>
      <c r="Y209" s="8"/>
    </row>
    <row r="210" spans="1:25" ht="11.25">
      <c r="A210" s="144" t="s">
        <v>583</v>
      </c>
      <c r="B210" s="14">
        <v>42781</v>
      </c>
      <c r="C210" s="144" t="s">
        <v>584</v>
      </c>
      <c r="D210" s="145">
        <v>18.45</v>
      </c>
      <c r="K210" s="14">
        <v>42817</v>
      </c>
      <c r="M210" s="14">
        <f t="shared" si="24"/>
        <v>42825</v>
      </c>
      <c r="N210" s="14">
        <v>42825</v>
      </c>
      <c r="O210" s="9">
        <f t="shared" si="25"/>
        <v>8</v>
      </c>
      <c r="P210" s="9">
        <f t="shared" si="26"/>
        <v>0</v>
      </c>
      <c r="Q210" s="9">
        <f t="shared" si="27"/>
        <v>8</v>
      </c>
      <c r="R210" s="9">
        <f t="shared" si="28"/>
        <v>-22</v>
      </c>
      <c r="S210" s="134">
        <v>22</v>
      </c>
      <c r="T210" s="8">
        <f t="shared" si="29"/>
        <v>0</v>
      </c>
      <c r="U210" s="8">
        <f t="shared" si="30"/>
        <v>-405.9</v>
      </c>
      <c r="V210" s="134">
        <f t="shared" si="31"/>
        <v>122</v>
      </c>
      <c r="Y210" s="8"/>
    </row>
    <row r="211" spans="1:25" ht="11.25">
      <c r="A211" s="144" t="s">
        <v>585</v>
      </c>
      <c r="B211" s="14">
        <v>42815</v>
      </c>
      <c r="C211" s="144" t="s">
        <v>586</v>
      </c>
      <c r="D211" s="145">
        <v>600</v>
      </c>
      <c r="K211" s="14">
        <v>42817</v>
      </c>
      <c r="M211" s="14">
        <f t="shared" si="24"/>
        <v>42825</v>
      </c>
      <c r="N211" s="14">
        <v>42825</v>
      </c>
      <c r="O211" s="9">
        <f t="shared" si="25"/>
        <v>8</v>
      </c>
      <c r="P211" s="9">
        <f t="shared" si="26"/>
        <v>0</v>
      </c>
      <c r="Q211" s="9">
        <f t="shared" si="27"/>
        <v>8</v>
      </c>
      <c r="R211" s="9">
        <f t="shared" si="28"/>
        <v>-22</v>
      </c>
      <c r="S211" s="134">
        <v>21</v>
      </c>
      <c r="T211" s="8">
        <f t="shared" si="29"/>
        <v>0</v>
      </c>
      <c r="U211" s="8">
        <f t="shared" si="30"/>
        <v>-13200</v>
      </c>
      <c r="V211" s="134">
        <f t="shared" si="31"/>
        <v>121</v>
      </c>
      <c r="Y211" s="8"/>
    </row>
    <row r="212" spans="1:25" ht="11.25">
      <c r="A212" s="144" t="s">
        <v>587</v>
      </c>
      <c r="B212" s="14">
        <v>42808</v>
      </c>
      <c r="C212" s="144" t="s">
        <v>588</v>
      </c>
      <c r="D212" s="145">
        <v>99.43</v>
      </c>
      <c r="K212" s="14">
        <v>42816</v>
      </c>
      <c r="M212" s="14">
        <f t="shared" si="24"/>
        <v>42816</v>
      </c>
      <c r="N212" s="14">
        <v>42816</v>
      </c>
      <c r="O212" s="9">
        <f t="shared" si="25"/>
        <v>0</v>
      </c>
      <c r="P212" s="9">
        <f t="shared" si="26"/>
        <v>0</v>
      </c>
      <c r="Q212" s="9">
        <f t="shared" si="27"/>
        <v>0</v>
      </c>
      <c r="R212" s="9">
        <f t="shared" si="28"/>
        <v>-30</v>
      </c>
      <c r="S212" s="134">
        <v>22</v>
      </c>
      <c r="T212" s="8">
        <f t="shared" si="29"/>
        <v>0</v>
      </c>
      <c r="U212" s="8">
        <f t="shared" si="30"/>
        <v>-2982.9</v>
      </c>
      <c r="V212" s="134">
        <f t="shared" si="31"/>
        <v>122</v>
      </c>
      <c r="Y212" s="8"/>
    </row>
    <row r="213" spans="1:25" ht="11.25">
      <c r="A213" s="144" t="s">
        <v>589</v>
      </c>
      <c r="B213" s="14">
        <v>42809</v>
      </c>
      <c r="C213" s="144" t="s">
        <v>590</v>
      </c>
      <c r="D213" s="145">
        <v>114.88</v>
      </c>
      <c r="K213" s="14">
        <v>42810</v>
      </c>
      <c r="M213" s="14">
        <f t="shared" si="24"/>
        <v>42810</v>
      </c>
      <c r="N213" s="14">
        <v>42810</v>
      </c>
      <c r="O213" s="9">
        <f t="shared" si="25"/>
        <v>0</v>
      </c>
      <c r="P213" s="9">
        <f t="shared" si="26"/>
        <v>0</v>
      </c>
      <c r="Q213" s="9">
        <f t="shared" si="27"/>
        <v>0</v>
      </c>
      <c r="R213" s="9">
        <f t="shared" si="28"/>
        <v>-30</v>
      </c>
      <c r="S213" s="134">
        <v>29</v>
      </c>
      <c r="T213" s="8">
        <f t="shared" si="29"/>
        <v>0</v>
      </c>
      <c r="U213" s="8">
        <f t="shared" si="30"/>
        <v>-3446.3999999999996</v>
      </c>
      <c r="V213" s="134">
        <f t="shared" si="31"/>
        <v>129</v>
      </c>
      <c r="Y213" s="8"/>
    </row>
    <row r="214" spans="1:25" ht="11.25">
      <c r="A214" s="146" t="s">
        <v>591</v>
      </c>
      <c r="B214" s="14">
        <v>42800</v>
      </c>
      <c r="C214" s="146" t="s">
        <v>592</v>
      </c>
      <c r="D214" s="147">
        <v>5705.15</v>
      </c>
      <c r="K214" s="14">
        <v>42817</v>
      </c>
      <c r="M214" s="14">
        <f t="shared" si="24"/>
        <v>42823</v>
      </c>
      <c r="N214" s="14">
        <v>42823</v>
      </c>
      <c r="O214" s="9">
        <f t="shared" si="25"/>
        <v>6</v>
      </c>
      <c r="P214" s="9">
        <f t="shared" si="26"/>
        <v>0</v>
      </c>
      <c r="Q214" s="9">
        <f t="shared" si="27"/>
        <v>6</v>
      </c>
      <c r="R214" s="9">
        <f t="shared" si="28"/>
        <v>-24</v>
      </c>
      <c r="S214" s="134">
        <v>29</v>
      </c>
      <c r="T214" s="8">
        <f t="shared" si="29"/>
        <v>0</v>
      </c>
      <c r="U214" s="8">
        <f t="shared" si="30"/>
        <v>-136923.59999999998</v>
      </c>
      <c r="V214" s="134">
        <f t="shared" si="31"/>
        <v>129</v>
      </c>
      <c r="Y214" s="8"/>
    </row>
    <row r="215" spans="1:25" ht="11.25">
      <c r="A215" s="146" t="s">
        <v>593</v>
      </c>
      <c r="B215" s="14">
        <v>42804</v>
      </c>
      <c r="C215" s="146" t="s">
        <v>594</v>
      </c>
      <c r="D215" s="147">
        <v>300</v>
      </c>
      <c r="K215" s="14">
        <v>42817</v>
      </c>
      <c r="M215" s="14">
        <f t="shared" si="24"/>
        <v>42823</v>
      </c>
      <c r="N215" s="14">
        <v>42823</v>
      </c>
      <c r="O215" s="9">
        <f t="shared" si="25"/>
        <v>6</v>
      </c>
      <c r="P215" s="9">
        <f t="shared" si="26"/>
        <v>0</v>
      </c>
      <c r="Q215" s="9">
        <f t="shared" si="27"/>
        <v>6</v>
      </c>
      <c r="R215" s="9">
        <f t="shared" si="28"/>
        <v>-24</v>
      </c>
      <c r="S215" s="134">
        <v>29</v>
      </c>
      <c r="T215" s="8">
        <f t="shared" si="29"/>
        <v>0</v>
      </c>
      <c r="U215" s="8">
        <f t="shared" si="30"/>
        <v>-7200</v>
      </c>
      <c r="V215" s="134">
        <f t="shared" si="31"/>
        <v>129</v>
      </c>
      <c r="Y215" s="8"/>
    </row>
    <row r="216" spans="1:25" ht="11.25">
      <c r="A216" s="144" t="s">
        <v>595</v>
      </c>
      <c r="B216" s="14">
        <v>42804</v>
      </c>
      <c r="C216" s="144" t="s">
        <v>596</v>
      </c>
      <c r="D216" s="145">
        <v>72.6</v>
      </c>
      <c r="K216" s="14">
        <v>42817</v>
      </c>
      <c r="M216" s="14">
        <f t="shared" si="24"/>
        <v>42823</v>
      </c>
      <c r="N216" s="14">
        <v>42823</v>
      </c>
      <c r="O216" s="9">
        <f t="shared" si="25"/>
        <v>6</v>
      </c>
      <c r="P216" s="9">
        <f t="shared" si="26"/>
        <v>0</v>
      </c>
      <c r="Q216" s="9">
        <f t="shared" si="27"/>
        <v>6</v>
      </c>
      <c r="R216" s="9">
        <f t="shared" si="28"/>
        <v>-24</v>
      </c>
      <c r="S216" s="134">
        <v>29</v>
      </c>
      <c r="T216" s="8">
        <f t="shared" si="29"/>
        <v>0</v>
      </c>
      <c r="U216" s="8">
        <f t="shared" si="30"/>
        <v>-1742.3999999999999</v>
      </c>
      <c r="V216" s="134">
        <f t="shared" si="31"/>
        <v>129</v>
      </c>
      <c r="Y216" s="8"/>
    </row>
    <row r="217" spans="1:25" ht="11.25">
      <c r="A217" s="144" t="s">
        <v>597</v>
      </c>
      <c r="B217" s="14">
        <v>42787</v>
      </c>
      <c r="C217" s="144" t="s">
        <v>108</v>
      </c>
      <c r="D217" s="145">
        <v>370.71</v>
      </c>
      <c r="K217" s="14">
        <v>42817</v>
      </c>
      <c r="M217" s="14">
        <f t="shared" si="24"/>
        <v>42823</v>
      </c>
      <c r="N217" s="14">
        <v>42823</v>
      </c>
      <c r="O217" s="9">
        <f t="shared" si="25"/>
        <v>6</v>
      </c>
      <c r="P217" s="9">
        <f t="shared" si="26"/>
        <v>0</v>
      </c>
      <c r="Q217" s="9">
        <f t="shared" si="27"/>
        <v>6</v>
      </c>
      <c r="R217" s="9">
        <f t="shared" si="28"/>
        <v>-24</v>
      </c>
      <c r="S217" s="134">
        <v>29</v>
      </c>
      <c r="T217" s="8">
        <f t="shared" si="29"/>
        <v>0</v>
      </c>
      <c r="U217" s="8">
        <f t="shared" si="30"/>
        <v>-8897.039999999999</v>
      </c>
      <c r="V217" s="134">
        <f t="shared" si="31"/>
        <v>129</v>
      </c>
      <c r="Y217" s="8"/>
    </row>
    <row r="218" spans="1:25" ht="11.25">
      <c r="A218" s="144" t="s">
        <v>598</v>
      </c>
      <c r="B218" s="14">
        <v>42824</v>
      </c>
      <c r="C218" s="144" t="s">
        <v>108</v>
      </c>
      <c r="D218" s="145">
        <v>4320</v>
      </c>
      <c r="K218" s="14">
        <v>42818</v>
      </c>
      <c r="M218" s="14">
        <f t="shared" si="24"/>
        <v>42825</v>
      </c>
      <c r="N218" s="14">
        <v>42825</v>
      </c>
      <c r="O218" s="9">
        <f t="shared" si="25"/>
        <v>7</v>
      </c>
      <c r="P218" s="9">
        <f t="shared" si="26"/>
        <v>0</v>
      </c>
      <c r="Q218" s="9">
        <f t="shared" si="27"/>
        <v>7</v>
      </c>
      <c r="R218" s="9">
        <f t="shared" si="28"/>
        <v>-23</v>
      </c>
      <c r="S218" s="134">
        <v>29</v>
      </c>
      <c r="T218" s="8">
        <f t="shared" si="29"/>
        <v>0</v>
      </c>
      <c r="U218" s="8">
        <f t="shared" si="30"/>
        <v>-99360</v>
      </c>
      <c r="V218" s="134">
        <f t="shared" si="31"/>
        <v>129</v>
      </c>
      <c r="Y218" s="8"/>
    </row>
    <row r="219" spans="1:25" ht="11.25">
      <c r="A219" s="144" t="s">
        <v>599</v>
      </c>
      <c r="B219" s="14">
        <v>42819</v>
      </c>
      <c r="C219" s="144" t="s">
        <v>600</v>
      </c>
      <c r="D219" s="145">
        <v>5.23</v>
      </c>
      <c r="K219" s="14">
        <v>42822</v>
      </c>
      <c r="M219" s="14">
        <f t="shared" si="24"/>
        <v>42823</v>
      </c>
      <c r="N219" s="14">
        <v>42823</v>
      </c>
      <c r="O219" s="9">
        <f t="shared" si="25"/>
        <v>1</v>
      </c>
      <c r="P219" s="9">
        <f t="shared" si="26"/>
        <v>0</v>
      </c>
      <c r="Q219" s="9">
        <f t="shared" si="27"/>
        <v>1</v>
      </c>
      <c r="R219" s="9">
        <f t="shared" si="28"/>
        <v>-29</v>
      </c>
      <c r="S219" s="134">
        <v>22</v>
      </c>
      <c r="T219" s="8">
        <f t="shared" si="29"/>
        <v>0</v>
      </c>
      <c r="U219" s="8">
        <f t="shared" si="30"/>
        <v>-151.67000000000002</v>
      </c>
      <c r="V219" s="134">
        <f t="shared" si="31"/>
        <v>122</v>
      </c>
      <c r="Y219" s="8"/>
    </row>
    <row r="220" spans="1:25" ht="11.25">
      <c r="A220" s="144" t="s">
        <v>601</v>
      </c>
      <c r="B220" s="14">
        <v>42810</v>
      </c>
      <c r="C220" s="144" t="s">
        <v>602</v>
      </c>
      <c r="D220" s="145">
        <v>575.56</v>
      </c>
      <c r="K220" s="14">
        <v>42814</v>
      </c>
      <c r="M220" s="14">
        <f t="shared" si="24"/>
        <v>42814</v>
      </c>
      <c r="N220" s="14">
        <v>42814</v>
      </c>
      <c r="O220" s="9">
        <f t="shared" si="25"/>
        <v>0</v>
      </c>
      <c r="P220" s="9">
        <f t="shared" si="26"/>
        <v>0</v>
      </c>
      <c r="Q220" s="9">
        <f t="shared" si="27"/>
        <v>0</v>
      </c>
      <c r="R220" s="9">
        <f t="shared" si="28"/>
        <v>-30</v>
      </c>
      <c r="S220" s="2">
        <v>22</v>
      </c>
      <c r="T220" s="8">
        <f t="shared" si="29"/>
        <v>0</v>
      </c>
      <c r="U220" s="8">
        <f t="shared" si="30"/>
        <v>-17266.8</v>
      </c>
      <c r="V220" s="134">
        <f t="shared" si="31"/>
        <v>122</v>
      </c>
      <c r="Y220" s="8"/>
    </row>
    <row r="221" spans="1:25" ht="11.25">
      <c r="A221" s="146" t="s">
        <v>603</v>
      </c>
      <c r="B221" s="14">
        <v>42809</v>
      </c>
      <c r="C221" s="146" t="s">
        <v>604</v>
      </c>
      <c r="D221" s="147">
        <v>421.14</v>
      </c>
      <c r="K221" s="14">
        <v>42811</v>
      </c>
      <c r="M221" s="14">
        <f t="shared" si="24"/>
        <v>42811</v>
      </c>
      <c r="N221" s="14">
        <v>42811</v>
      </c>
      <c r="O221" s="9">
        <f t="shared" si="25"/>
        <v>0</v>
      </c>
      <c r="P221" s="9">
        <f t="shared" si="26"/>
        <v>0</v>
      </c>
      <c r="Q221" s="9">
        <f t="shared" si="27"/>
        <v>0</v>
      </c>
      <c r="R221" s="9">
        <f t="shared" si="28"/>
        <v>-30</v>
      </c>
      <c r="S221" s="2">
        <v>22</v>
      </c>
      <c r="T221" s="8">
        <f t="shared" si="29"/>
        <v>0</v>
      </c>
      <c r="U221" s="8">
        <f t="shared" si="30"/>
        <v>-12634.199999999999</v>
      </c>
      <c r="V221" s="134">
        <f t="shared" si="31"/>
        <v>122</v>
      </c>
      <c r="Y221" s="8"/>
    </row>
    <row r="222" spans="1:25" ht="11.25">
      <c r="A222" s="146" t="s">
        <v>605</v>
      </c>
      <c r="B222" s="14">
        <v>42809</v>
      </c>
      <c r="C222" s="146" t="s">
        <v>606</v>
      </c>
      <c r="D222" s="147">
        <v>674.21</v>
      </c>
      <c r="K222" s="14">
        <v>42811</v>
      </c>
      <c r="M222" s="14">
        <f t="shared" si="24"/>
        <v>42811</v>
      </c>
      <c r="N222" s="14">
        <v>42811</v>
      </c>
      <c r="O222" s="9">
        <f t="shared" si="25"/>
        <v>0</v>
      </c>
      <c r="P222" s="9">
        <f t="shared" si="26"/>
        <v>0</v>
      </c>
      <c r="Q222" s="9">
        <f t="shared" si="27"/>
        <v>0</v>
      </c>
      <c r="R222" s="9">
        <f t="shared" si="28"/>
        <v>-30</v>
      </c>
      <c r="S222" s="2">
        <v>22</v>
      </c>
      <c r="T222" s="8">
        <f t="shared" si="29"/>
        <v>0</v>
      </c>
      <c r="U222" s="8">
        <f t="shared" si="30"/>
        <v>-20226.300000000003</v>
      </c>
      <c r="V222" s="134">
        <f t="shared" si="31"/>
        <v>122</v>
      </c>
      <c r="Y222" s="8"/>
    </row>
    <row r="223" spans="1:25" ht="11.25">
      <c r="A223" s="146" t="s">
        <v>607</v>
      </c>
      <c r="B223" s="14">
        <v>42790</v>
      </c>
      <c r="C223" s="146" t="s">
        <v>608</v>
      </c>
      <c r="D223" s="147">
        <v>26.43</v>
      </c>
      <c r="K223" s="14">
        <v>42821</v>
      </c>
      <c r="M223" s="14">
        <f t="shared" si="24"/>
        <v>42821</v>
      </c>
      <c r="N223" s="14">
        <v>42821</v>
      </c>
      <c r="O223" s="9">
        <f t="shared" si="25"/>
        <v>0</v>
      </c>
      <c r="P223" s="9">
        <f t="shared" si="26"/>
        <v>0</v>
      </c>
      <c r="Q223" s="9">
        <f t="shared" si="27"/>
        <v>0</v>
      </c>
      <c r="R223" s="9">
        <f t="shared" si="28"/>
        <v>-30</v>
      </c>
      <c r="S223" s="2">
        <v>29</v>
      </c>
      <c r="T223" s="8">
        <f t="shared" si="29"/>
        <v>0</v>
      </c>
      <c r="U223" s="8">
        <f t="shared" si="30"/>
        <v>-792.9</v>
      </c>
      <c r="V223" s="134">
        <f t="shared" si="31"/>
        <v>129</v>
      </c>
      <c r="Y223" s="8"/>
    </row>
    <row r="224" spans="1:25" ht="11.25">
      <c r="A224" s="144" t="s">
        <v>609</v>
      </c>
      <c r="B224" s="14">
        <v>42807</v>
      </c>
      <c r="C224" s="144" t="s">
        <v>610</v>
      </c>
      <c r="D224" s="145">
        <v>475.15</v>
      </c>
      <c r="K224" s="14">
        <v>42809</v>
      </c>
      <c r="M224" s="14">
        <f t="shared" si="24"/>
        <v>42809</v>
      </c>
      <c r="N224" s="14">
        <v>42809</v>
      </c>
      <c r="O224" s="9">
        <f t="shared" si="25"/>
        <v>0</v>
      </c>
      <c r="P224" s="9">
        <f t="shared" si="26"/>
        <v>0</v>
      </c>
      <c r="Q224" s="9">
        <f t="shared" si="27"/>
        <v>0</v>
      </c>
      <c r="R224" s="9">
        <f t="shared" si="28"/>
        <v>-30</v>
      </c>
      <c r="S224" s="2">
        <v>22</v>
      </c>
      <c r="T224" s="8">
        <f t="shared" si="29"/>
        <v>0</v>
      </c>
      <c r="U224" s="8">
        <f t="shared" si="30"/>
        <v>-14254.5</v>
      </c>
      <c r="V224" s="134">
        <f t="shared" si="31"/>
        <v>122</v>
      </c>
      <c r="Y224" s="8"/>
    </row>
    <row r="225" spans="1:25" ht="11.25">
      <c r="A225" s="144" t="s">
        <v>611</v>
      </c>
      <c r="B225" s="14">
        <v>42815</v>
      </c>
      <c r="C225" s="144" t="s">
        <v>612</v>
      </c>
      <c r="D225" s="145">
        <v>8665.26</v>
      </c>
      <c r="K225" s="14">
        <v>42818</v>
      </c>
      <c r="M225" s="14">
        <f t="shared" si="24"/>
        <v>42818</v>
      </c>
      <c r="N225" s="14">
        <v>42818</v>
      </c>
      <c r="O225" s="9">
        <f t="shared" si="25"/>
        <v>0</v>
      </c>
      <c r="P225" s="9">
        <f t="shared" si="26"/>
        <v>0</v>
      </c>
      <c r="Q225" s="9">
        <f t="shared" si="27"/>
        <v>0</v>
      </c>
      <c r="R225" s="9">
        <f t="shared" si="28"/>
        <v>-30</v>
      </c>
      <c r="S225" s="2">
        <v>29</v>
      </c>
      <c r="T225" s="8">
        <f t="shared" si="29"/>
        <v>0</v>
      </c>
      <c r="U225" s="8">
        <f t="shared" si="30"/>
        <v>-259957.80000000002</v>
      </c>
      <c r="V225" s="134">
        <f t="shared" si="31"/>
        <v>129</v>
      </c>
      <c r="Y225" s="8"/>
    </row>
    <row r="226" spans="1:25" ht="11.25">
      <c r="A226" s="144" t="s">
        <v>613</v>
      </c>
      <c r="B226" s="14">
        <v>42811</v>
      </c>
      <c r="C226" s="144" t="s">
        <v>614</v>
      </c>
      <c r="D226" s="145">
        <v>363</v>
      </c>
      <c r="K226" s="14">
        <v>42823</v>
      </c>
      <c r="M226" s="14">
        <f t="shared" si="24"/>
        <v>42823</v>
      </c>
      <c r="N226" s="14">
        <v>42823</v>
      </c>
      <c r="O226" s="9">
        <f t="shared" si="25"/>
        <v>0</v>
      </c>
      <c r="P226" s="9">
        <f t="shared" si="26"/>
        <v>0</v>
      </c>
      <c r="Q226" s="9">
        <f t="shared" si="27"/>
        <v>0</v>
      </c>
      <c r="R226" s="9">
        <f t="shared" si="28"/>
        <v>-30</v>
      </c>
      <c r="S226" s="2">
        <v>29</v>
      </c>
      <c r="T226" s="8">
        <f t="shared" si="29"/>
        <v>0</v>
      </c>
      <c r="U226" s="8">
        <f t="shared" si="30"/>
        <v>-10890</v>
      </c>
      <c r="V226" s="134">
        <f t="shared" si="31"/>
        <v>129</v>
      </c>
      <c r="Y226" s="8"/>
    </row>
    <row r="227" spans="1:25" ht="11.25">
      <c r="A227" s="144" t="s">
        <v>615</v>
      </c>
      <c r="B227" s="14">
        <v>42794</v>
      </c>
      <c r="C227" s="144" t="s">
        <v>616</v>
      </c>
      <c r="D227" s="145">
        <v>713.91</v>
      </c>
      <c r="K227" s="14">
        <v>42823</v>
      </c>
      <c r="M227" s="14">
        <f t="shared" si="24"/>
        <v>42823</v>
      </c>
      <c r="N227" s="14">
        <v>42823</v>
      </c>
      <c r="O227" s="9">
        <f t="shared" si="25"/>
        <v>0</v>
      </c>
      <c r="P227" s="9">
        <f t="shared" si="26"/>
        <v>0</v>
      </c>
      <c r="Q227" s="9">
        <f t="shared" si="27"/>
        <v>0</v>
      </c>
      <c r="R227" s="9">
        <f t="shared" si="28"/>
        <v>-30</v>
      </c>
      <c r="S227" s="2">
        <v>29</v>
      </c>
      <c r="T227" s="8">
        <f t="shared" si="29"/>
        <v>0</v>
      </c>
      <c r="U227" s="8">
        <f t="shared" si="30"/>
        <v>-21417.3</v>
      </c>
      <c r="V227" s="134">
        <f t="shared" si="31"/>
        <v>129</v>
      </c>
      <c r="Y227" s="8"/>
    </row>
    <row r="228" spans="1:25" ht="11.25">
      <c r="A228" s="146" t="s">
        <v>617</v>
      </c>
      <c r="B228" s="14">
        <v>42809</v>
      </c>
      <c r="C228" s="146" t="s">
        <v>618</v>
      </c>
      <c r="D228" s="147">
        <v>18.25</v>
      </c>
      <c r="K228" s="14">
        <v>42817</v>
      </c>
      <c r="M228" s="14">
        <f t="shared" si="24"/>
        <v>42817</v>
      </c>
      <c r="N228" s="14">
        <v>42817</v>
      </c>
      <c r="O228" s="9">
        <f t="shared" si="25"/>
        <v>0</v>
      </c>
      <c r="P228" s="9">
        <f t="shared" si="26"/>
        <v>0</v>
      </c>
      <c r="Q228" s="9">
        <f t="shared" si="27"/>
        <v>0</v>
      </c>
      <c r="R228" s="9">
        <f t="shared" si="28"/>
        <v>-30</v>
      </c>
      <c r="S228" s="2">
        <v>22</v>
      </c>
      <c r="T228" s="8">
        <f t="shared" si="29"/>
        <v>0</v>
      </c>
      <c r="U228" s="8">
        <f t="shared" si="30"/>
        <v>-547.5</v>
      </c>
      <c r="V228" s="134">
        <f t="shared" si="31"/>
        <v>122</v>
      </c>
      <c r="Y228" s="8"/>
    </row>
    <row r="229" spans="1:25" ht="11.25">
      <c r="A229" s="146" t="s">
        <v>619</v>
      </c>
      <c r="B229" s="14">
        <v>42809</v>
      </c>
      <c r="C229" s="146" t="s">
        <v>620</v>
      </c>
      <c r="D229" s="147">
        <v>85.9</v>
      </c>
      <c r="K229" s="14">
        <v>42817</v>
      </c>
      <c r="M229" s="14">
        <f t="shared" si="24"/>
        <v>42817</v>
      </c>
      <c r="N229" s="14">
        <v>42817</v>
      </c>
      <c r="O229" s="9">
        <f t="shared" si="25"/>
        <v>0</v>
      </c>
      <c r="P229" s="9">
        <f t="shared" si="26"/>
        <v>0</v>
      </c>
      <c r="Q229" s="9">
        <f t="shared" si="27"/>
        <v>0</v>
      </c>
      <c r="R229" s="9">
        <f t="shared" si="28"/>
        <v>-30</v>
      </c>
      <c r="S229" s="2">
        <v>22</v>
      </c>
      <c r="T229" s="8">
        <f t="shared" si="29"/>
        <v>0</v>
      </c>
      <c r="U229" s="8">
        <f t="shared" si="30"/>
        <v>-2577</v>
      </c>
      <c r="V229" s="134">
        <f t="shared" si="31"/>
        <v>122</v>
      </c>
      <c r="Y229" s="8"/>
    </row>
    <row r="230" spans="1:25" ht="11.25">
      <c r="A230" s="146" t="s">
        <v>621</v>
      </c>
      <c r="B230" s="14">
        <v>42810</v>
      </c>
      <c r="C230" s="146" t="s">
        <v>622</v>
      </c>
      <c r="D230" s="147">
        <v>16.26</v>
      </c>
      <c r="K230" s="14">
        <v>42818</v>
      </c>
      <c r="M230" s="14">
        <f t="shared" si="24"/>
        <v>42818</v>
      </c>
      <c r="N230" s="14">
        <v>42818</v>
      </c>
      <c r="O230" s="9">
        <f t="shared" si="25"/>
        <v>0</v>
      </c>
      <c r="P230" s="9">
        <f t="shared" si="26"/>
        <v>0</v>
      </c>
      <c r="Q230" s="9">
        <f t="shared" si="27"/>
        <v>0</v>
      </c>
      <c r="R230" s="9">
        <f t="shared" si="28"/>
        <v>-30</v>
      </c>
      <c r="S230" s="2">
        <v>22</v>
      </c>
      <c r="T230" s="8">
        <f t="shared" si="29"/>
        <v>0</v>
      </c>
      <c r="U230" s="8">
        <f t="shared" si="30"/>
        <v>-487.80000000000007</v>
      </c>
      <c r="V230" s="134">
        <f t="shared" si="31"/>
        <v>122</v>
      </c>
      <c r="Y230" s="8"/>
    </row>
    <row r="231" spans="1:25" ht="11.25">
      <c r="A231" s="146" t="s">
        <v>623</v>
      </c>
      <c r="B231" s="14">
        <v>42808</v>
      </c>
      <c r="C231" s="146" t="s">
        <v>624</v>
      </c>
      <c r="D231" s="147">
        <v>430.74</v>
      </c>
      <c r="K231" s="14">
        <v>42810</v>
      </c>
      <c r="M231" s="14">
        <f t="shared" si="24"/>
        <v>42810</v>
      </c>
      <c r="N231" s="14">
        <v>42810</v>
      </c>
      <c r="O231" s="9">
        <f t="shared" si="25"/>
        <v>0</v>
      </c>
      <c r="P231" s="9">
        <f t="shared" si="26"/>
        <v>0</v>
      </c>
      <c r="Q231" s="9">
        <f t="shared" si="27"/>
        <v>0</v>
      </c>
      <c r="R231" s="9">
        <f t="shared" si="28"/>
        <v>-30</v>
      </c>
      <c r="S231" s="2">
        <v>22</v>
      </c>
      <c r="T231" s="8">
        <f t="shared" si="29"/>
        <v>0</v>
      </c>
      <c r="U231" s="8">
        <f t="shared" si="30"/>
        <v>-12922.2</v>
      </c>
      <c r="V231" s="134">
        <f t="shared" si="31"/>
        <v>122</v>
      </c>
      <c r="Y231" s="8"/>
    </row>
    <row r="232" spans="1:25" ht="11.25">
      <c r="A232" s="146" t="s">
        <v>625</v>
      </c>
      <c r="B232" s="14">
        <v>42825</v>
      </c>
      <c r="C232" s="146" t="s">
        <v>626</v>
      </c>
      <c r="D232" s="147">
        <v>1108.17</v>
      </c>
      <c r="K232" s="14">
        <v>42825</v>
      </c>
      <c r="M232" s="14">
        <f t="shared" si="24"/>
        <v>42825</v>
      </c>
      <c r="N232" s="14">
        <v>42825</v>
      </c>
      <c r="O232" s="9">
        <f t="shared" si="25"/>
        <v>0</v>
      </c>
      <c r="P232" s="9">
        <f t="shared" si="26"/>
        <v>0</v>
      </c>
      <c r="Q232" s="9">
        <f t="shared" si="27"/>
        <v>0</v>
      </c>
      <c r="R232" s="9">
        <f t="shared" si="28"/>
        <v>-30</v>
      </c>
      <c r="S232" s="2">
        <v>29</v>
      </c>
      <c r="T232" s="8">
        <f t="shared" si="29"/>
        <v>0</v>
      </c>
      <c r="U232" s="8">
        <f t="shared" si="30"/>
        <v>-33245.100000000006</v>
      </c>
      <c r="V232" s="134">
        <f t="shared" si="31"/>
        <v>129</v>
      </c>
      <c r="Y232" s="8"/>
    </row>
    <row r="233" spans="1:25" ht="11.25">
      <c r="A233" s="144" t="s">
        <v>627</v>
      </c>
      <c r="B233" s="14">
        <v>42816</v>
      </c>
      <c r="C233" s="144" t="s">
        <v>628</v>
      </c>
      <c r="D233" s="145">
        <v>182.63</v>
      </c>
      <c r="K233" s="14">
        <v>42816</v>
      </c>
      <c r="M233" s="14">
        <f t="shared" si="24"/>
        <v>42816</v>
      </c>
      <c r="N233" s="14">
        <v>42816</v>
      </c>
      <c r="O233" s="9">
        <f t="shared" si="25"/>
        <v>0</v>
      </c>
      <c r="P233" s="9">
        <f t="shared" si="26"/>
        <v>0</v>
      </c>
      <c r="Q233" s="9">
        <f t="shared" si="27"/>
        <v>0</v>
      </c>
      <c r="R233" s="9">
        <f t="shared" si="28"/>
        <v>-30</v>
      </c>
      <c r="S233" s="2">
        <v>29</v>
      </c>
      <c r="T233" s="8">
        <f t="shared" si="29"/>
        <v>0</v>
      </c>
      <c r="U233" s="8">
        <f t="shared" si="30"/>
        <v>-5478.9</v>
      </c>
      <c r="V233" s="134">
        <f t="shared" si="31"/>
        <v>129</v>
      </c>
      <c r="Y233" s="8"/>
    </row>
    <row r="234" spans="1:25" ht="11.25">
      <c r="A234" s="146" t="s">
        <v>629</v>
      </c>
      <c r="B234" s="14">
        <v>42825</v>
      </c>
      <c r="C234" s="146" t="s">
        <v>630</v>
      </c>
      <c r="D234" s="147">
        <v>1668.35</v>
      </c>
      <c r="K234" s="14">
        <v>42825</v>
      </c>
      <c r="M234" s="14">
        <f t="shared" si="24"/>
        <v>42825</v>
      </c>
      <c r="N234" s="14">
        <v>42825</v>
      </c>
      <c r="O234" s="9">
        <f t="shared" si="25"/>
        <v>0</v>
      </c>
      <c r="P234" s="9">
        <f t="shared" si="26"/>
        <v>0</v>
      </c>
      <c r="Q234" s="9">
        <f t="shared" si="27"/>
        <v>0</v>
      </c>
      <c r="R234" s="9">
        <f t="shared" si="28"/>
        <v>-30</v>
      </c>
      <c r="S234" s="2">
        <v>29</v>
      </c>
      <c r="T234" s="8">
        <f t="shared" si="29"/>
        <v>0</v>
      </c>
      <c r="U234" s="8">
        <f t="shared" si="30"/>
        <v>-50050.5</v>
      </c>
      <c r="V234" s="134">
        <f t="shared" si="31"/>
        <v>129</v>
      </c>
      <c r="Y234" s="8"/>
    </row>
    <row r="235" spans="1:25" ht="11.25">
      <c r="A235" s="146" t="s">
        <v>631</v>
      </c>
      <c r="B235" s="14">
        <v>42808</v>
      </c>
      <c r="C235" s="146" t="s">
        <v>632</v>
      </c>
      <c r="D235" s="147">
        <v>385.72</v>
      </c>
      <c r="K235" s="14">
        <v>42810</v>
      </c>
      <c r="M235" s="14">
        <f t="shared" si="24"/>
        <v>42810</v>
      </c>
      <c r="N235" s="14">
        <v>42810</v>
      </c>
      <c r="O235" s="9">
        <f t="shared" si="25"/>
        <v>0</v>
      </c>
      <c r="P235" s="9">
        <f t="shared" si="26"/>
        <v>0</v>
      </c>
      <c r="Q235" s="9">
        <f t="shared" si="27"/>
        <v>0</v>
      </c>
      <c r="R235" s="9">
        <f t="shared" si="28"/>
        <v>-30</v>
      </c>
      <c r="S235" s="2">
        <v>22</v>
      </c>
      <c r="T235" s="8">
        <f t="shared" si="29"/>
        <v>0</v>
      </c>
      <c r="U235" s="8">
        <f t="shared" si="30"/>
        <v>-11571.6</v>
      </c>
      <c r="V235" s="134">
        <f t="shared" si="31"/>
        <v>122</v>
      </c>
      <c r="Y235" s="8"/>
    </row>
    <row r="236" spans="1:25" ht="11.25">
      <c r="A236" s="146" t="s">
        <v>633</v>
      </c>
      <c r="B236" s="14">
        <v>42813</v>
      </c>
      <c r="C236" s="146" t="s">
        <v>634</v>
      </c>
      <c r="D236" s="147">
        <v>58.4</v>
      </c>
      <c r="K236" s="14">
        <v>42814</v>
      </c>
      <c r="M236" s="14">
        <f t="shared" si="24"/>
        <v>42814</v>
      </c>
      <c r="N236" s="14">
        <v>42814</v>
      </c>
      <c r="O236" s="9">
        <f t="shared" si="25"/>
        <v>0</v>
      </c>
      <c r="P236" s="9">
        <f t="shared" si="26"/>
        <v>0</v>
      </c>
      <c r="Q236" s="9">
        <f t="shared" si="27"/>
        <v>0</v>
      </c>
      <c r="R236" s="9">
        <f t="shared" si="28"/>
        <v>-30</v>
      </c>
      <c r="S236" s="2">
        <v>29</v>
      </c>
      <c r="T236" s="8">
        <f t="shared" si="29"/>
        <v>0</v>
      </c>
      <c r="U236" s="8">
        <f t="shared" si="30"/>
        <v>-1752</v>
      </c>
      <c r="V236" s="134">
        <f t="shared" si="31"/>
        <v>129</v>
      </c>
      <c r="Y236" s="8"/>
    </row>
    <row r="237" spans="1:25" ht="11.25">
      <c r="A237" s="146" t="s">
        <v>635</v>
      </c>
      <c r="B237" s="14">
        <v>42808</v>
      </c>
      <c r="C237" s="146" t="s">
        <v>636</v>
      </c>
      <c r="D237" s="147">
        <v>36.81</v>
      </c>
      <c r="K237" s="14">
        <v>42810</v>
      </c>
      <c r="M237" s="14">
        <f t="shared" si="24"/>
        <v>42810</v>
      </c>
      <c r="N237" s="14">
        <v>42810</v>
      </c>
      <c r="O237" s="9">
        <f t="shared" si="25"/>
        <v>0</v>
      </c>
      <c r="P237" s="9">
        <f t="shared" si="26"/>
        <v>0</v>
      </c>
      <c r="Q237" s="9">
        <f t="shared" si="27"/>
        <v>0</v>
      </c>
      <c r="R237" s="9">
        <f t="shared" si="28"/>
        <v>-30</v>
      </c>
      <c r="S237" s="2">
        <v>20</v>
      </c>
      <c r="T237" s="8">
        <f t="shared" si="29"/>
        <v>0</v>
      </c>
      <c r="U237" s="8">
        <f t="shared" si="30"/>
        <v>-1104.3000000000002</v>
      </c>
      <c r="V237" s="134">
        <f t="shared" si="31"/>
        <v>120</v>
      </c>
      <c r="Y237" s="8"/>
    </row>
    <row r="238" spans="1:25" ht="11.25">
      <c r="A238" s="144" t="s">
        <v>637</v>
      </c>
      <c r="B238" s="14">
        <v>42821</v>
      </c>
      <c r="C238" s="144" t="s">
        <v>638</v>
      </c>
      <c r="D238" s="145">
        <v>50.82</v>
      </c>
      <c r="K238" s="14">
        <v>42823</v>
      </c>
      <c r="M238" s="14">
        <f t="shared" si="24"/>
        <v>42823</v>
      </c>
      <c r="N238" s="14">
        <v>42823</v>
      </c>
      <c r="O238" s="9">
        <f t="shared" si="25"/>
        <v>0</v>
      </c>
      <c r="P238" s="9">
        <f t="shared" si="26"/>
        <v>0</v>
      </c>
      <c r="Q238" s="9">
        <f t="shared" si="27"/>
        <v>0</v>
      </c>
      <c r="R238" s="9">
        <f t="shared" si="28"/>
        <v>-30</v>
      </c>
      <c r="S238" s="2">
        <v>21</v>
      </c>
      <c r="T238" s="8">
        <f t="shared" si="29"/>
        <v>0</v>
      </c>
      <c r="U238" s="8">
        <f t="shared" si="30"/>
        <v>-1524.6</v>
      </c>
      <c r="V238" s="134">
        <f t="shared" si="31"/>
        <v>121</v>
      </c>
      <c r="Y238" s="8"/>
    </row>
    <row r="239" spans="1:25" ht="11.25">
      <c r="A239" s="144" t="s">
        <v>639</v>
      </c>
      <c r="B239" s="14">
        <v>42817</v>
      </c>
      <c r="C239" s="144" t="s">
        <v>640</v>
      </c>
      <c r="D239" s="145">
        <v>300.62</v>
      </c>
      <c r="K239" s="14">
        <v>42823</v>
      </c>
      <c r="M239" s="14">
        <f t="shared" si="24"/>
        <v>42823</v>
      </c>
      <c r="N239" s="14">
        <v>42823</v>
      </c>
      <c r="O239" s="9">
        <f t="shared" si="25"/>
        <v>0</v>
      </c>
      <c r="P239" s="9">
        <f t="shared" si="26"/>
        <v>0</v>
      </c>
      <c r="Q239" s="9">
        <f t="shared" si="27"/>
        <v>0</v>
      </c>
      <c r="R239" s="9">
        <f t="shared" si="28"/>
        <v>-30</v>
      </c>
      <c r="S239" s="2">
        <v>29</v>
      </c>
      <c r="T239" s="8">
        <f t="shared" si="29"/>
        <v>0</v>
      </c>
      <c r="U239" s="8">
        <f t="shared" si="30"/>
        <v>-9018.6</v>
      </c>
      <c r="V239" s="134">
        <f t="shared" si="31"/>
        <v>129</v>
      </c>
      <c r="Y239" s="8"/>
    </row>
    <row r="240" spans="1:25" ht="11.25">
      <c r="A240" s="144" t="s">
        <v>641</v>
      </c>
      <c r="B240" s="14">
        <v>42817</v>
      </c>
      <c r="C240" s="144" t="s">
        <v>642</v>
      </c>
      <c r="D240" s="145">
        <v>75.07</v>
      </c>
      <c r="K240" s="14">
        <v>42823</v>
      </c>
      <c r="M240" s="14">
        <f t="shared" si="24"/>
        <v>42823</v>
      </c>
      <c r="N240" s="14">
        <v>42823</v>
      </c>
      <c r="O240" s="9">
        <f t="shared" si="25"/>
        <v>0</v>
      </c>
      <c r="P240" s="9">
        <f t="shared" si="26"/>
        <v>0</v>
      </c>
      <c r="Q240" s="9">
        <f t="shared" si="27"/>
        <v>0</v>
      </c>
      <c r="R240" s="9">
        <f t="shared" si="28"/>
        <v>-30</v>
      </c>
      <c r="S240" s="2">
        <v>29</v>
      </c>
      <c r="T240" s="8">
        <f t="shared" si="29"/>
        <v>0</v>
      </c>
      <c r="U240" s="8">
        <f t="shared" si="30"/>
        <v>-2252.1</v>
      </c>
      <c r="V240" s="134">
        <f t="shared" si="31"/>
        <v>129</v>
      </c>
      <c r="Y240" s="8"/>
    </row>
    <row r="241" spans="1:25" ht="11.25">
      <c r="A241" s="144" t="s">
        <v>643</v>
      </c>
      <c r="B241" s="14">
        <v>42817</v>
      </c>
      <c r="C241" s="144" t="s">
        <v>644</v>
      </c>
      <c r="D241" s="145">
        <v>72.65</v>
      </c>
      <c r="K241" s="14">
        <v>42823</v>
      </c>
      <c r="M241" s="14">
        <f t="shared" si="24"/>
        <v>42823</v>
      </c>
      <c r="N241" s="14">
        <v>42823</v>
      </c>
      <c r="O241" s="9">
        <f t="shared" si="25"/>
        <v>0</v>
      </c>
      <c r="P241" s="9">
        <f t="shared" si="26"/>
        <v>0</v>
      </c>
      <c r="Q241" s="9">
        <f t="shared" si="27"/>
        <v>0</v>
      </c>
      <c r="R241" s="9">
        <f t="shared" si="28"/>
        <v>-30</v>
      </c>
      <c r="S241" s="2">
        <v>29</v>
      </c>
      <c r="T241" s="8">
        <f t="shared" si="29"/>
        <v>0</v>
      </c>
      <c r="U241" s="8">
        <f t="shared" si="30"/>
        <v>-2179.5</v>
      </c>
      <c r="V241" s="134">
        <f t="shared" si="31"/>
        <v>129</v>
      </c>
      <c r="Y241" s="8"/>
    </row>
    <row r="242" spans="1:25" ht="11.25">
      <c r="A242" s="144" t="s">
        <v>645</v>
      </c>
      <c r="B242" s="14">
        <v>42817</v>
      </c>
      <c r="C242" s="144" t="s">
        <v>646</v>
      </c>
      <c r="D242" s="145">
        <v>1153.16</v>
      </c>
      <c r="K242" s="14">
        <v>42823</v>
      </c>
      <c r="M242" s="14">
        <f t="shared" si="24"/>
        <v>42823</v>
      </c>
      <c r="N242" s="14">
        <v>42823</v>
      </c>
      <c r="O242" s="9">
        <f t="shared" si="25"/>
        <v>0</v>
      </c>
      <c r="P242" s="9">
        <f t="shared" si="26"/>
        <v>0</v>
      </c>
      <c r="Q242" s="9">
        <f t="shared" si="27"/>
        <v>0</v>
      </c>
      <c r="R242" s="9">
        <f t="shared" si="28"/>
        <v>-30</v>
      </c>
      <c r="S242" s="2">
        <v>29</v>
      </c>
      <c r="T242" s="8">
        <f t="shared" si="29"/>
        <v>0</v>
      </c>
      <c r="U242" s="8">
        <f t="shared" si="30"/>
        <v>-34594.8</v>
      </c>
      <c r="V242" s="134">
        <f t="shared" si="31"/>
        <v>129</v>
      </c>
      <c r="Y242" s="8"/>
    </row>
    <row r="243" spans="1:25" ht="11.25">
      <c r="A243" s="144" t="s">
        <v>647</v>
      </c>
      <c r="B243" s="14">
        <v>42817</v>
      </c>
      <c r="C243" s="144" t="s">
        <v>648</v>
      </c>
      <c r="D243" s="145">
        <v>563.28</v>
      </c>
      <c r="K243" s="14">
        <v>42823</v>
      </c>
      <c r="M243" s="14">
        <f t="shared" si="24"/>
        <v>42823</v>
      </c>
      <c r="N243" s="14">
        <v>42823</v>
      </c>
      <c r="O243" s="9">
        <f t="shared" si="25"/>
        <v>0</v>
      </c>
      <c r="P243" s="9">
        <f t="shared" si="26"/>
        <v>0</v>
      </c>
      <c r="Q243" s="9">
        <f t="shared" si="27"/>
        <v>0</v>
      </c>
      <c r="R243" s="9">
        <f t="shared" si="28"/>
        <v>-30</v>
      </c>
      <c r="S243" s="2">
        <v>29</v>
      </c>
      <c r="T243" s="8">
        <f t="shared" si="29"/>
        <v>0</v>
      </c>
      <c r="U243" s="8">
        <f t="shared" si="30"/>
        <v>-16898.399999999998</v>
      </c>
      <c r="V243" s="134">
        <f t="shared" si="31"/>
        <v>129</v>
      </c>
      <c r="Y243" s="8"/>
    </row>
    <row r="244" spans="1:25" ht="11.25">
      <c r="A244" s="146" t="s">
        <v>649</v>
      </c>
      <c r="B244" s="14">
        <v>42799</v>
      </c>
      <c r="C244" s="146" t="s">
        <v>650</v>
      </c>
      <c r="D244" s="147">
        <v>1185.8</v>
      </c>
      <c r="K244" s="14">
        <v>42810</v>
      </c>
      <c r="M244" s="14">
        <f t="shared" si="24"/>
        <v>42810</v>
      </c>
      <c r="N244" s="14">
        <v>42810</v>
      </c>
      <c r="O244" s="9">
        <f t="shared" si="25"/>
        <v>0</v>
      </c>
      <c r="P244" s="9">
        <f t="shared" si="26"/>
        <v>0</v>
      </c>
      <c r="Q244" s="9">
        <f t="shared" si="27"/>
        <v>0</v>
      </c>
      <c r="R244" s="9">
        <f t="shared" si="28"/>
        <v>-30</v>
      </c>
      <c r="S244" s="2">
        <v>21</v>
      </c>
      <c r="T244" s="8">
        <f t="shared" si="29"/>
        <v>0</v>
      </c>
      <c r="U244" s="8">
        <f t="shared" si="30"/>
        <v>-35574</v>
      </c>
      <c r="V244" s="134">
        <f t="shared" si="31"/>
        <v>121</v>
      </c>
      <c r="Y244" s="8"/>
    </row>
    <row r="245" spans="1:25" ht="11.25">
      <c r="A245" s="144" t="s">
        <v>651</v>
      </c>
      <c r="B245" s="14">
        <v>42824</v>
      </c>
      <c r="C245" s="144" t="s">
        <v>652</v>
      </c>
      <c r="D245" s="145">
        <v>969.43</v>
      </c>
      <c r="K245" s="14">
        <v>42823</v>
      </c>
      <c r="M245" s="14">
        <f t="shared" si="24"/>
        <v>42823</v>
      </c>
      <c r="N245" s="14">
        <v>42823</v>
      </c>
      <c r="O245" s="9">
        <f t="shared" si="25"/>
        <v>0</v>
      </c>
      <c r="P245" s="9">
        <f>+N245-M245</f>
        <v>0</v>
      </c>
      <c r="Q245" s="9">
        <f>+N245-K245</f>
        <v>0</v>
      </c>
      <c r="R245" s="9">
        <f>+Q245-30</f>
        <v>-30</v>
      </c>
      <c r="S245" s="2">
        <v>29</v>
      </c>
      <c r="T245" s="8">
        <f>+P245*D245</f>
        <v>0</v>
      </c>
      <c r="U245" s="8">
        <f t="shared" si="30"/>
        <v>-29082.899999999998</v>
      </c>
      <c r="V245" s="134">
        <f t="shared" si="31"/>
        <v>129</v>
      </c>
      <c r="Y245" s="8"/>
    </row>
    <row r="246" spans="1:25" ht="11.25">
      <c r="A246" s="144" t="s">
        <v>653</v>
      </c>
      <c r="B246" s="14">
        <v>42824</v>
      </c>
      <c r="C246" s="144" t="s">
        <v>654</v>
      </c>
      <c r="D246" s="145">
        <v>497.25</v>
      </c>
      <c r="K246" s="14">
        <v>42823</v>
      </c>
      <c r="M246" s="14">
        <f t="shared" si="24"/>
        <v>42823</v>
      </c>
      <c r="N246" s="14">
        <v>42823</v>
      </c>
      <c r="O246" s="9">
        <f t="shared" si="25"/>
        <v>0</v>
      </c>
      <c r="P246" s="9">
        <f>+N246-M246</f>
        <v>0</v>
      </c>
      <c r="Q246" s="9">
        <f>+N246-K246</f>
        <v>0</v>
      </c>
      <c r="R246" s="9">
        <f>+Q246-30</f>
        <v>-30</v>
      </c>
      <c r="S246" s="2">
        <v>29</v>
      </c>
      <c r="T246" s="8">
        <f>+P246*D246</f>
        <v>0</v>
      </c>
      <c r="U246" s="8">
        <f t="shared" si="30"/>
        <v>-14917.5</v>
      </c>
      <c r="V246" s="134">
        <f t="shared" si="31"/>
        <v>129</v>
      </c>
      <c r="Y246" s="8"/>
    </row>
    <row r="247" spans="1:25" ht="11.25">
      <c r="A247" s="144" t="s">
        <v>655</v>
      </c>
      <c r="B247" s="14">
        <v>42824</v>
      </c>
      <c r="C247" s="144" t="s">
        <v>656</v>
      </c>
      <c r="D247" s="145">
        <v>413.76</v>
      </c>
      <c r="K247" s="14">
        <v>42823</v>
      </c>
      <c r="M247" s="14">
        <f t="shared" si="24"/>
        <v>42823</v>
      </c>
      <c r="N247" s="14">
        <v>42823</v>
      </c>
      <c r="O247" s="9">
        <f t="shared" si="25"/>
        <v>0</v>
      </c>
      <c r="P247" s="9">
        <f>+N247-M247</f>
        <v>0</v>
      </c>
      <c r="Q247" s="9">
        <f>+N247-K247</f>
        <v>0</v>
      </c>
      <c r="R247" s="9">
        <f>+Q247-30</f>
        <v>-30</v>
      </c>
      <c r="S247" s="2">
        <v>29</v>
      </c>
      <c r="T247" s="8">
        <f>+P247*D247</f>
        <v>0</v>
      </c>
      <c r="U247" s="8">
        <f t="shared" si="30"/>
        <v>-12412.8</v>
      </c>
      <c r="V247" s="134">
        <f t="shared" si="31"/>
        <v>129</v>
      </c>
      <c r="Y247" s="8"/>
    </row>
    <row r="248" spans="1:25" ht="11.25">
      <c r="A248" s="144" t="s">
        <v>657</v>
      </c>
      <c r="B248" s="14">
        <v>42783</v>
      </c>
      <c r="C248" s="144" t="s">
        <v>658</v>
      </c>
      <c r="D248" s="145">
        <v>116</v>
      </c>
      <c r="K248" s="14">
        <v>42825</v>
      </c>
      <c r="M248" s="14">
        <f t="shared" si="24"/>
        <v>42825</v>
      </c>
      <c r="N248" s="14">
        <v>42825</v>
      </c>
      <c r="O248" s="9">
        <f t="shared" si="25"/>
        <v>0</v>
      </c>
      <c r="P248" s="9">
        <f>+N248-M248</f>
        <v>0</v>
      </c>
      <c r="Q248" s="9">
        <f>+N248-K248</f>
        <v>0</v>
      </c>
      <c r="R248" s="9">
        <f>+Q248-30</f>
        <v>-30</v>
      </c>
      <c r="S248" s="2">
        <v>29</v>
      </c>
      <c r="T248" s="8">
        <f>+P248*D248</f>
        <v>0</v>
      </c>
      <c r="U248" s="8">
        <f>+R248*D248</f>
        <v>-3480</v>
      </c>
      <c r="V248" s="134">
        <f t="shared" si="31"/>
        <v>129</v>
      </c>
      <c r="Y248" s="8"/>
    </row>
    <row r="249" spans="1:25" ht="11.25">
      <c r="A249" s="146" t="s">
        <v>659</v>
      </c>
      <c r="B249" s="14">
        <v>42825</v>
      </c>
      <c r="C249" s="146" t="s">
        <v>660</v>
      </c>
      <c r="D249" s="147">
        <v>119.19</v>
      </c>
      <c r="K249" s="14">
        <v>42825</v>
      </c>
      <c r="M249" s="14">
        <f t="shared" si="24"/>
        <v>42825</v>
      </c>
      <c r="N249" s="14">
        <v>42825</v>
      </c>
      <c r="O249" s="9">
        <f t="shared" si="25"/>
        <v>0</v>
      </c>
      <c r="P249" s="9">
        <f>+N249-M249</f>
        <v>0</v>
      </c>
      <c r="Q249" s="9">
        <f>+N249-K249</f>
        <v>0</v>
      </c>
      <c r="R249" s="9">
        <f>+Q249-30</f>
        <v>-30</v>
      </c>
      <c r="S249" s="2">
        <v>29</v>
      </c>
      <c r="T249" s="8">
        <f>+P249*D249</f>
        <v>0</v>
      </c>
      <c r="U249" s="8">
        <f t="shared" si="30"/>
        <v>-3575.7</v>
      </c>
      <c r="V249" s="134">
        <f>IF(P249&gt;30,200+S249,100+S249)</f>
        <v>129</v>
      </c>
      <c r="Y249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2" sqref="Q2"/>
    </sheetView>
  </sheetViews>
  <sheetFormatPr defaultColWidth="9.140625" defaultRowHeight="12.75"/>
  <cols>
    <col min="1" max="1" width="6.421875" style="2" customWidth="1"/>
    <col min="2" max="2" width="7.140625" style="14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3.28125" style="2" customWidth="1"/>
    <col min="10" max="10" width="15.421875" style="2" customWidth="1"/>
    <col min="11" max="11" width="9.28125" style="14" bestFit="1" customWidth="1"/>
    <col min="12" max="12" width="5.7109375" style="14" customWidth="1"/>
    <col min="13" max="13" width="9.28125" style="14" bestFit="1" customWidth="1"/>
    <col min="14" max="14" width="9.140625" style="14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6"/>
      <c r="C1" s="4"/>
      <c r="D1" s="7"/>
      <c r="E1" s="4"/>
      <c r="F1" s="4"/>
      <c r="G1" s="119" t="s">
        <v>101</v>
      </c>
      <c r="H1" s="4"/>
      <c r="I1" s="4"/>
      <c r="J1" s="4"/>
      <c r="O1" s="96"/>
      <c r="P1" s="96" t="s">
        <v>100</v>
      </c>
      <c r="Q1" s="115">
        <v>42551</v>
      </c>
    </row>
    <row r="3" spans="1:22" ht="38.25" customHeight="1">
      <c r="A3" s="5" t="s">
        <v>75</v>
      </c>
      <c r="B3" s="17" t="s">
        <v>70</v>
      </c>
      <c r="C3" s="6" t="s">
        <v>86</v>
      </c>
      <c r="D3" s="116" t="s">
        <v>44</v>
      </c>
      <c r="E3" s="5" t="s">
        <v>85</v>
      </c>
      <c r="F3" s="118" t="s">
        <v>71</v>
      </c>
      <c r="G3" s="118" t="s">
        <v>72</v>
      </c>
      <c r="H3" s="6" t="s">
        <v>83</v>
      </c>
      <c r="I3" s="6" t="s">
        <v>84</v>
      </c>
      <c r="J3" s="118" t="s">
        <v>73</v>
      </c>
      <c r="K3" s="117" t="s">
        <v>74</v>
      </c>
      <c r="L3" s="15" t="s">
        <v>76</v>
      </c>
      <c r="M3" s="15" t="s">
        <v>92</v>
      </c>
      <c r="N3" s="15" t="s">
        <v>93</v>
      </c>
      <c r="O3" s="10" t="s">
        <v>77</v>
      </c>
      <c r="P3" s="11" t="s">
        <v>87</v>
      </c>
      <c r="Q3" s="12" t="s">
        <v>88</v>
      </c>
      <c r="R3" s="13" t="s">
        <v>50</v>
      </c>
      <c r="S3" s="2" t="s">
        <v>94</v>
      </c>
      <c r="T3" s="8" t="s">
        <v>95</v>
      </c>
      <c r="U3" s="8" t="s">
        <v>96</v>
      </c>
      <c r="V3" s="2" t="s">
        <v>97</v>
      </c>
    </row>
    <row r="4" spans="2:21" s="120" customFormat="1" ht="11.25">
      <c r="B4" s="121"/>
      <c r="D4" s="122"/>
      <c r="K4" s="121"/>
      <c r="L4" s="121"/>
      <c r="M4" s="121"/>
      <c r="N4" s="121"/>
      <c r="O4" s="123"/>
      <c r="P4" s="123"/>
      <c r="Q4" s="123"/>
      <c r="R4" s="123"/>
      <c r="T4" s="124"/>
      <c r="U4" s="124"/>
    </row>
    <row r="5" spans="2:21" s="120" customFormat="1" ht="11.25">
      <c r="B5" s="121"/>
      <c r="D5" s="122"/>
      <c r="K5" s="121"/>
      <c r="L5" s="121"/>
      <c r="M5" s="121"/>
      <c r="N5" s="121"/>
      <c r="O5" s="123"/>
      <c r="P5" s="123"/>
      <c r="Q5" s="123"/>
      <c r="R5" s="123"/>
      <c r="T5" s="124"/>
      <c r="U5" s="124"/>
    </row>
    <row r="6" spans="2:21" s="120" customFormat="1" ht="11.25">
      <c r="B6" s="121"/>
      <c r="D6" s="124"/>
      <c r="K6" s="121"/>
      <c r="L6" s="121"/>
      <c r="M6" s="121"/>
      <c r="N6" s="121"/>
      <c r="O6" s="123"/>
      <c r="P6" s="123"/>
      <c r="Q6" s="123"/>
      <c r="R6" s="123"/>
      <c r="T6" s="124"/>
      <c r="U6" s="124"/>
    </row>
    <row r="7" spans="2:21" s="120" customFormat="1" ht="11.25">
      <c r="B7" s="121"/>
      <c r="D7" s="124"/>
      <c r="K7" s="121"/>
      <c r="L7" s="121"/>
      <c r="M7" s="121"/>
      <c r="N7" s="121"/>
      <c r="O7" s="123"/>
      <c r="P7" s="123"/>
      <c r="Q7" s="123"/>
      <c r="R7" s="123"/>
      <c r="T7" s="124"/>
      <c r="U7" s="124"/>
    </row>
    <row r="8" spans="2:21" s="120" customFormat="1" ht="11.25">
      <c r="B8" s="121"/>
      <c r="D8" s="124"/>
      <c r="K8" s="121"/>
      <c r="L8" s="121"/>
      <c r="M8" s="121"/>
      <c r="N8" s="121"/>
      <c r="O8" s="123"/>
      <c r="P8" s="123"/>
      <c r="Q8" s="123"/>
      <c r="R8" s="123"/>
      <c r="T8" s="124"/>
      <c r="U8" s="124"/>
    </row>
    <row r="9" spans="2:21" s="120" customFormat="1" ht="11.25">
      <c r="B9" s="121"/>
      <c r="D9" s="124"/>
      <c r="K9" s="121"/>
      <c r="L9" s="121"/>
      <c r="M9" s="121"/>
      <c r="N9" s="121"/>
      <c r="O9" s="123"/>
      <c r="P9" s="123"/>
      <c r="Q9" s="123"/>
      <c r="R9" s="123"/>
      <c r="T9" s="124"/>
      <c r="U9" s="124"/>
    </row>
    <row r="10" spans="2:21" s="120" customFormat="1" ht="11.25">
      <c r="B10" s="121"/>
      <c r="D10" s="124"/>
      <c r="K10" s="121"/>
      <c r="L10" s="121"/>
      <c r="M10" s="121"/>
      <c r="N10" s="121"/>
      <c r="O10" s="123"/>
      <c r="P10" s="123"/>
      <c r="Q10" s="123"/>
      <c r="R10" s="123"/>
      <c r="T10" s="124"/>
      <c r="U10" s="124"/>
    </row>
    <row r="11" spans="2:21" s="120" customFormat="1" ht="11.25">
      <c r="B11" s="121"/>
      <c r="D11" s="124"/>
      <c r="K11" s="121"/>
      <c r="L11" s="121"/>
      <c r="M11" s="121"/>
      <c r="N11" s="121"/>
      <c r="O11" s="123"/>
      <c r="P11" s="123"/>
      <c r="Q11" s="123"/>
      <c r="R11" s="123"/>
      <c r="T11" s="124"/>
      <c r="U11" s="124"/>
    </row>
    <row r="12" spans="2:21" s="120" customFormat="1" ht="11.25">
      <c r="B12" s="121"/>
      <c r="D12" s="124"/>
      <c r="K12" s="121"/>
      <c r="L12" s="121"/>
      <c r="M12" s="121"/>
      <c r="N12" s="121"/>
      <c r="O12" s="123"/>
      <c r="P12" s="123"/>
      <c r="Q12" s="123"/>
      <c r="R12" s="123"/>
      <c r="T12" s="124"/>
      <c r="U12" s="124"/>
    </row>
    <row r="13" spans="2:21" s="120" customFormat="1" ht="11.25">
      <c r="B13" s="121"/>
      <c r="D13" s="124"/>
      <c r="K13" s="121"/>
      <c r="L13" s="121"/>
      <c r="M13" s="121"/>
      <c r="N13" s="121"/>
      <c r="O13" s="123"/>
      <c r="P13" s="123"/>
      <c r="Q13" s="123"/>
      <c r="R13" s="123"/>
      <c r="T13" s="124"/>
      <c r="U13" s="124"/>
    </row>
    <row r="14" spans="2:21" s="120" customFormat="1" ht="11.25">
      <c r="B14" s="121"/>
      <c r="D14" s="124"/>
      <c r="K14" s="121"/>
      <c r="L14" s="121"/>
      <c r="M14" s="121"/>
      <c r="N14" s="121"/>
      <c r="O14" s="123"/>
      <c r="P14" s="123"/>
      <c r="Q14" s="123"/>
      <c r="R14" s="123"/>
      <c r="T14" s="124"/>
      <c r="U14" s="124"/>
    </row>
    <row r="15" spans="2:21" s="120" customFormat="1" ht="11.25">
      <c r="B15" s="121"/>
      <c r="D15" s="124"/>
      <c r="K15" s="121"/>
      <c r="L15" s="121"/>
      <c r="M15" s="121"/>
      <c r="N15" s="121"/>
      <c r="O15" s="123"/>
      <c r="P15" s="123"/>
      <c r="Q15" s="123"/>
      <c r="R15" s="123"/>
      <c r="T15" s="124"/>
      <c r="U15" s="124"/>
    </row>
    <row r="16" spans="2:21" s="120" customFormat="1" ht="11.25">
      <c r="B16" s="121"/>
      <c r="D16" s="124"/>
      <c r="K16" s="121"/>
      <c r="L16" s="121"/>
      <c r="M16" s="121"/>
      <c r="N16" s="121"/>
      <c r="O16" s="123"/>
      <c r="P16" s="123"/>
      <c r="Q16" s="123"/>
      <c r="R16" s="123"/>
      <c r="T16" s="124"/>
      <c r="U16" s="124"/>
    </row>
    <row r="17" spans="2:21" s="120" customFormat="1" ht="11.25">
      <c r="B17" s="121"/>
      <c r="D17" s="124"/>
      <c r="K17" s="121"/>
      <c r="L17" s="121"/>
      <c r="M17" s="121"/>
      <c r="N17" s="121"/>
      <c r="O17" s="123"/>
      <c r="P17" s="123"/>
      <c r="Q17" s="123"/>
      <c r="R17" s="123"/>
      <c r="T17" s="124"/>
      <c r="U17" s="124"/>
    </row>
    <row r="18" spans="2:21" s="120" customFormat="1" ht="11.25">
      <c r="B18" s="121"/>
      <c r="D18" s="124"/>
      <c r="K18" s="121"/>
      <c r="L18" s="121"/>
      <c r="M18" s="121"/>
      <c r="N18" s="121"/>
      <c r="O18" s="123"/>
      <c r="P18" s="123"/>
      <c r="Q18" s="123"/>
      <c r="R18" s="123"/>
      <c r="T18" s="124"/>
      <c r="U18" s="124"/>
    </row>
    <row r="19" spans="2:21" s="120" customFormat="1" ht="11.25">
      <c r="B19" s="121"/>
      <c r="D19" s="124"/>
      <c r="K19" s="121"/>
      <c r="L19" s="121"/>
      <c r="M19" s="121"/>
      <c r="N19" s="121"/>
      <c r="O19" s="123"/>
      <c r="P19" s="123"/>
      <c r="Q19" s="123"/>
      <c r="R19" s="123"/>
      <c r="T19" s="124"/>
      <c r="U19" s="124"/>
    </row>
    <row r="20" spans="2:21" s="120" customFormat="1" ht="11.25">
      <c r="B20" s="121"/>
      <c r="D20" s="124"/>
      <c r="K20" s="121"/>
      <c r="L20" s="121"/>
      <c r="M20" s="121"/>
      <c r="N20" s="121"/>
      <c r="O20" s="123"/>
      <c r="P20" s="123"/>
      <c r="Q20" s="123"/>
      <c r="R20" s="123"/>
      <c r="T20" s="124"/>
      <c r="U20" s="124"/>
    </row>
    <row r="21" spans="2:21" s="120" customFormat="1" ht="11.25">
      <c r="B21" s="121"/>
      <c r="D21" s="124"/>
      <c r="K21" s="121"/>
      <c r="L21" s="121"/>
      <c r="M21" s="121"/>
      <c r="N21" s="121"/>
      <c r="O21" s="123"/>
      <c r="P21" s="123"/>
      <c r="Q21" s="123"/>
      <c r="R21" s="123"/>
      <c r="T21" s="124"/>
      <c r="U21" s="124"/>
    </row>
    <row r="22" spans="2:21" s="120" customFormat="1" ht="11.25">
      <c r="B22" s="121"/>
      <c r="D22" s="124"/>
      <c r="K22" s="121"/>
      <c r="L22" s="121"/>
      <c r="M22" s="121"/>
      <c r="N22" s="121"/>
      <c r="O22" s="123"/>
      <c r="P22" s="123"/>
      <c r="Q22" s="123"/>
      <c r="R22" s="123"/>
      <c r="T22" s="124"/>
      <c r="U22" s="124"/>
    </row>
    <row r="23" spans="2:21" s="120" customFormat="1" ht="11.25">
      <c r="B23" s="121"/>
      <c r="D23" s="124"/>
      <c r="K23" s="121"/>
      <c r="L23" s="121"/>
      <c r="M23" s="121"/>
      <c r="N23" s="121"/>
      <c r="O23" s="123"/>
      <c r="P23" s="123"/>
      <c r="Q23" s="123"/>
      <c r="R23" s="123"/>
      <c r="T23" s="124"/>
      <c r="U23" s="124"/>
    </row>
    <row r="24" spans="2:21" s="120" customFormat="1" ht="11.25">
      <c r="B24" s="121"/>
      <c r="D24" s="124"/>
      <c r="K24" s="121"/>
      <c r="L24" s="121"/>
      <c r="M24" s="121"/>
      <c r="N24" s="121"/>
      <c r="O24" s="123"/>
      <c r="P24" s="123"/>
      <c r="Q24" s="123"/>
      <c r="R24" s="123"/>
      <c r="T24" s="124"/>
      <c r="U24" s="124"/>
    </row>
    <row r="25" spans="2:21" s="120" customFormat="1" ht="11.25">
      <c r="B25" s="121"/>
      <c r="D25" s="124"/>
      <c r="K25" s="121"/>
      <c r="L25" s="121"/>
      <c r="M25" s="121"/>
      <c r="N25" s="121"/>
      <c r="O25" s="123"/>
      <c r="P25" s="123"/>
      <c r="Q25" s="123"/>
      <c r="R25" s="123"/>
      <c r="T25" s="124"/>
      <c r="U25" s="124"/>
    </row>
    <row r="26" spans="2:21" s="120" customFormat="1" ht="11.25">
      <c r="B26" s="121"/>
      <c r="D26" s="124"/>
      <c r="K26" s="121"/>
      <c r="L26" s="121"/>
      <c r="M26" s="121"/>
      <c r="N26" s="121"/>
      <c r="O26" s="123"/>
      <c r="P26" s="123"/>
      <c r="Q26" s="123"/>
      <c r="R26" s="123"/>
      <c r="T26" s="124"/>
      <c r="U26" s="124"/>
    </row>
    <row r="27" spans="2:21" s="120" customFormat="1" ht="11.25">
      <c r="B27" s="121"/>
      <c r="D27" s="124"/>
      <c r="K27" s="121"/>
      <c r="L27" s="121"/>
      <c r="M27" s="121"/>
      <c r="N27" s="121"/>
      <c r="O27" s="123"/>
      <c r="P27" s="123"/>
      <c r="Q27" s="123"/>
      <c r="R27" s="123"/>
      <c r="T27" s="124"/>
      <c r="U27" s="124"/>
    </row>
    <row r="28" spans="2:21" s="120" customFormat="1" ht="11.25">
      <c r="B28" s="121"/>
      <c r="D28" s="124"/>
      <c r="K28" s="121"/>
      <c r="L28" s="121"/>
      <c r="M28" s="121"/>
      <c r="N28" s="121"/>
      <c r="O28" s="123"/>
      <c r="P28" s="123"/>
      <c r="Q28" s="123"/>
      <c r="R28" s="123"/>
      <c r="T28" s="124"/>
      <c r="U28" s="124"/>
    </row>
    <row r="29" spans="2:21" s="120" customFormat="1" ht="11.25">
      <c r="B29" s="121"/>
      <c r="D29" s="124"/>
      <c r="K29" s="121"/>
      <c r="L29" s="121"/>
      <c r="M29" s="121"/>
      <c r="N29" s="121"/>
      <c r="O29" s="123"/>
      <c r="P29" s="123"/>
      <c r="Q29" s="123"/>
      <c r="R29" s="123"/>
      <c r="T29" s="124"/>
      <c r="U29" s="124"/>
    </row>
    <row r="30" spans="2:21" s="120" customFormat="1" ht="11.25">
      <c r="B30" s="121"/>
      <c r="D30" s="124"/>
      <c r="K30" s="121"/>
      <c r="L30" s="121"/>
      <c r="M30" s="121"/>
      <c r="N30" s="121"/>
      <c r="O30" s="123"/>
      <c r="P30" s="123"/>
      <c r="Q30" s="123"/>
      <c r="R30" s="123"/>
      <c r="T30" s="124"/>
      <c r="U30" s="124"/>
    </row>
    <row r="31" spans="2:21" s="120" customFormat="1" ht="11.25">
      <c r="B31" s="121"/>
      <c r="D31" s="124"/>
      <c r="K31" s="121"/>
      <c r="L31" s="121"/>
      <c r="M31" s="121"/>
      <c r="N31" s="121"/>
      <c r="O31" s="123"/>
      <c r="P31" s="123"/>
      <c r="Q31" s="123"/>
      <c r="R31" s="123"/>
      <c r="T31" s="124"/>
      <c r="U31" s="124"/>
    </row>
    <row r="32" spans="2:21" s="120" customFormat="1" ht="11.25">
      <c r="B32" s="121"/>
      <c r="D32" s="124"/>
      <c r="K32" s="121"/>
      <c r="L32" s="121"/>
      <c r="M32" s="121"/>
      <c r="N32" s="121"/>
      <c r="O32" s="123"/>
      <c r="P32" s="123"/>
      <c r="Q32" s="123"/>
      <c r="R32" s="123"/>
      <c r="T32" s="124"/>
      <c r="U32" s="124"/>
    </row>
    <row r="33" spans="2:21" s="120" customFormat="1" ht="11.25">
      <c r="B33" s="121"/>
      <c r="D33" s="124"/>
      <c r="K33" s="121"/>
      <c r="L33" s="121"/>
      <c r="M33" s="121"/>
      <c r="N33" s="121"/>
      <c r="O33" s="123"/>
      <c r="P33" s="123"/>
      <c r="Q33" s="123"/>
      <c r="R33" s="123"/>
      <c r="T33" s="124"/>
      <c r="U33" s="124"/>
    </row>
    <row r="34" spans="2:21" s="120" customFormat="1" ht="11.25">
      <c r="B34" s="121"/>
      <c r="D34" s="124"/>
      <c r="K34" s="121"/>
      <c r="L34" s="121"/>
      <c r="M34" s="121"/>
      <c r="N34" s="121"/>
      <c r="O34" s="123"/>
      <c r="P34" s="123"/>
      <c r="Q34" s="123"/>
      <c r="R34" s="123"/>
      <c r="T34" s="124"/>
      <c r="U34" s="124"/>
    </row>
    <row r="35" spans="2:21" s="120" customFormat="1" ht="11.25">
      <c r="B35" s="121"/>
      <c r="D35" s="124"/>
      <c r="K35" s="121"/>
      <c r="L35" s="121"/>
      <c r="M35" s="121"/>
      <c r="N35" s="121"/>
      <c r="O35" s="123"/>
      <c r="P35" s="123"/>
      <c r="Q35" s="123"/>
      <c r="R35" s="123"/>
      <c r="T35" s="124"/>
      <c r="U35" s="124"/>
    </row>
    <row r="36" spans="2:21" s="120" customFormat="1" ht="11.25">
      <c r="B36" s="121"/>
      <c r="D36" s="124"/>
      <c r="K36" s="121"/>
      <c r="L36" s="121"/>
      <c r="M36" s="121"/>
      <c r="N36" s="121"/>
      <c r="O36" s="123"/>
      <c r="P36" s="123"/>
      <c r="Q36" s="123"/>
      <c r="R36" s="123"/>
      <c r="T36" s="124"/>
      <c r="U36" s="124"/>
    </row>
    <row r="37" spans="2:21" s="120" customFormat="1" ht="11.25">
      <c r="B37" s="121"/>
      <c r="D37" s="124"/>
      <c r="K37" s="121"/>
      <c r="L37" s="121"/>
      <c r="M37" s="121"/>
      <c r="N37" s="121"/>
      <c r="O37" s="123"/>
      <c r="P37" s="123"/>
      <c r="Q37" s="123"/>
      <c r="R37" s="123"/>
      <c r="T37" s="124"/>
      <c r="U37" s="124"/>
    </row>
    <row r="38" spans="2:21" s="120" customFormat="1" ht="11.25">
      <c r="B38" s="121"/>
      <c r="D38" s="124"/>
      <c r="K38" s="121"/>
      <c r="L38" s="121"/>
      <c r="M38" s="121"/>
      <c r="N38" s="121"/>
      <c r="O38" s="123"/>
      <c r="P38" s="123"/>
      <c r="Q38" s="123"/>
      <c r="R38" s="123"/>
      <c r="T38" s="124"/>
      <c r="U38" s="124"/>
    </row>
    <row r="39" spans="2:21" s="120" customFormat="1" ht="11.25">
      <c r="B39" s="121"/>
      <c r="D39" s="124"/>
      <c r="K39" s="121"/>
      <c r="L39" s="121"/>
      <c r="M39" s="121"/>
      <c r="N39" s="121"/>
      <c r="O39" s="123"/>
      <c r="P39" s="123"/>
      <c r="Q39" s="123"/>
      <c r="R39" s="123"/>
      <c r="T39" s="124"/>
      <c r="U39" s="124"/>
    </row>
    <row r="40" spans="2:21" s="120" customFormat="1" ht="11.25">
      <c r="B40" s="121"/>
      <c r="D40" s="124"/>
      <c r="K40" s="121"/>
      <c r="L40" s="121"/>
      <c r="M40" s="121"/>
      <c r="N40" s="121"/>
      <c r="O40" s="123"/>
      <c r="P40" s="123"/>
      <c r="Q40" s="123"/>
      <c r="R40" s="123"/>
      <c r="T40" s="124"/>
      <c r="U40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U55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16.7109375" style="2" customWidth="1"/>
    <col min="2" max="2" width="10.710937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4" width="9.140625" style="14" customWidth="1"/>
    <col min="15" max="15" width="9.140625" style="9" customWidth="1"/>
    <col min="16" max="16" width="9.8515625" style="9" bestFit="1" customWidth="1"/>
    <col min="17" max="17" width="9.8515625" style="2" bestFit="1" customWidth="1"/>
    <col min="18" max="19" width="15.57421875" style="8" bestFit="1" customWidth="1"/>
    <col min="20" max="22" width="9.140625" style="2" customWidth="1"/>
    <col min="23" max="141" width="9.140625" style="134" customWidth="1"/>
    <col min="142" max="16384" width="9.140625" style="2" customWidth="1"/>
  </cols>
  <sheetData>
    <row r="2" ht="11.25">
      <c r="D2" s="127" t="s">
        <v>103</v>
      </c>
    </row>
    <row r="3" spans="1:17" ht="11.25">
      <c r="A3" s="3" t="s">
        <v>81</v>
      </c>
      <c r="B3" s="16"/>
      <c r="C3" s="4"/>
      <c r="D3" s="126" t="s">
        <v>102</v>
      </c>
      <c r="E3" s="4"/>
      <c r="F3" s="4"/>
      <c r="G3" s="4"/>
      <c r="H3" s="4"/>
      <c r="I3" s="4"/>
      <c r="J3" s="4"/>
      <c r="N3" s="97"/>
      <c r="O3" s="96"/>
      <c r="P3" s="96" t="s">
        <v>100</v>
      </c>
      <c r="Q3" s="115">
        <v>42551</v>
      </c>
    </row>
    <row r="5" spans="1:20" ht="38.25" customHeight="1">
      <c r="A5" s="5" t="s">
        <v>75</v>
      </c>
      <c r="B5" s="17" t="s">
        <v>70</v>
      </c>
      <c r="C5" s="6" t="s">
        <v>86</v>
      </c>
      <c r="D5" s="116" t="s">
        <v>44</v>
      </c>
      <c r="E5" s="5" t="s">
        <v>85</v>
      </c>
      <c r="F5" s="125" t="s">
        <v>71</v>
      </c>
      <c r="G5" s="125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1" t="s">
        <v>82</v>
      </c>
      <c r="P5" s="13" t="s">
        <v>50</v>
      </c>
      <c r="Q5" s="132" t="s">
        <v>98</v>
      </c>
      <c r="R5" s="8" t="s">
        <v>95</v>
      </c>
      <c r="S5" s="8" t="s">
        <v>96</v>
      </c>
      <c r="T5" s="2" t="s">
        <v>99</v>
      </c>
    </row>
    <row r="6" spans="1:21" s="134" customFormat="1" ht="11.25">
      <c r="A6" s="144" t="s">
        <v>109</v>
      </c>
      <c r="B6" s="14">
        <v>42795</v>
      </c>
      <c r="C6" s="144" t="s">
        <v>110</v>
      </c>
      <c r="D6" s="145">
        <v>56.86</v>
      </c>
      <c r="E6" s="2"/>
      <c r="F6" s="2"/>
      <c r="G6" s="2"/>
      <c r="H6" s="2"/>
      <c r="I6" s="2"/>
      <c r="J6" s="2"/>
      <c r="K6" s="14">
        <v>42802</v>
      </c>
      <c r="L6" s="14"/>
      <c r="M6" s="14">
        <f>+N6</f>
        <v>42828</v>
      </c>
      <c r="N6" s="14">
        <v>42828</v>
      </c>
      <c r="O6" s="9">
        <f>+M6-K6</f>
        <v>26</v>
      </c>
      <c r="P6" s="9">
        <f>+N6-M6</f>
        <v>0</v>
      </c>
      <c r="Q6" s="9">
        <f>+N6-K6</f>
        <v>26</v>
      </c>
      <c r="R6" s="9">
        <f>+O6*D6</f>
        <v>1478.36</v>
      </c>
      <c r="S6" s="9">
        <f>+P6*D6</f>
        <v>0</v>
      </c>
      <c r="T6" s="135"/>
      <c r="U6" s="135"/>
    </row>
    <row r="7" spans="1:21" s="134" customFormat="1" ht="11.25">
      <c r="A7" s="146" t="s">
        <v>111</v>
      </c>
      <c r="B7" s="14">
        <v>42794</v>
      </c>
      <c r="C7" s="146" t="s">
        <v>112</v>
      </c>
      <c r="D7" s="147">
        <v>540.02</v>
      </c>
      <c r="E7" s="2"/>
      <c r="F7" s="2"/>
      <c r="G7" s="2"/>
      <c r="H7" s="2"/>
      <c r="I7" s="2"/>
      <c r="J7" s="2"/>
      <c r="K7" s="14">
        <v>42824</v>
      </c>
      <c r="L7" s="14"/>
      <c r="M7" s="14">
        <f>+N7</f>
        <v>42843</v>
      </c>
      <c r="N7" s="14">
        <v>42843</v>
      </c>
      <c r="O7" s="9">
        <f>+M7-K7</f>
        <v>19</v>
      </c>
      <c r="P7" s="9">
        <f>+N7-M7</f>
        <v>0</v>
      </c>
      <c r="Q7" s="9">
        <f>+N7-K7</f>
        <v>19</v>
      </c>
      <c r="R7" s="9">
        <f>+O7*D7</f>
        <v>10260.38</v>
      </c>
      <c r="S7" s="9">
        <f>+P7*D7</f>
        <v>0</v>
      </c>
      <c r="T7" s="135"/>
      <c r="U7" s="135"/>
    </row>
    <row r="8" spans="1:21" s="134" customFormat="1" ht="11.25">
      <c r="A8" s="146" t="s">
        <v>113</v>
      </c>
      <c r="B8" s="14">
        <v>42825</v>
      </c>
      <c r="C8" s="146" t="s">
        <v>114</v>
      </c>
      <c r="D8" s="147">
        <v>300</v>
      </c>
      <c r="E8" s="2"/>
      <c r="F8" s="2"/>
      <c r="G8" s="2"/>
      <c r="H8" s="2"/>
      <c r="I8" s="2"/>
      <c r="J8" s="2"/>
      <c r="K8" s="14"/>
      <c r="L8" s="14"/>
      <c r="M8" s="14">
        <f aca="true" t="shared" si="0" ref="M8:M39">+N8</f>
        <v>42843</v>
      </c>
      <c r="N8" s="14">
        <v>42843</v>
      </c>
      <c r="O8" s="9"/>
      <c r="P8" s="9"/>
      <c r="Q8" s="9"/>
      <c r="R8" s="9"/>
      <c r="S8" s="9"/>
      <c r="T8" s="135"/>
      <c r="U8" s="135"/>
    </row>
    <row r="9" spans="1:21" s="134" customFormat="1" ht="11.25">
      <c r="A9" s="146" t="s">
        <v>115</v>
      </c>
      <c r="B9" s="14">
        <v>42824</v>
      </c>
      <c r="C9" s="146" t="s">
        <v>116</v>
      </c>
      <c r="D9" s="147">
        <v>106.08</v>
      </c>
      <c r="E9" s="2"/>
      <c r="F9" s="2"/>
      <c r="G9" s="2"/>
      <c r="H9" s="2"/>
      <c r="I9" s="2"/>
      <c r="J9" s="2"/>
      <c r="K9" s="14"/>
      <c r="L9" s="14"/>
      <c r="M9" s="14">
        <f t="shared" si="0"/>
        <v>42843</v>
      </c>
      <c r="N9" s="14">
        <v>42843</v>
      </c>
      <c r="O9" s="9"/>
      <c r="P9" s="9"/>
      <c r="Q9" s="9"/>
      <c r="R9" s="9"/>
      <c r="S9" s="9"/>
      <c r="T9" s="135"/>
      <c r="U9" s="135"/>
    </row>
    <row r="10" spans="1:21" s="134" customFormat="1" ht="11.25">
      <c r="A10" s="146" t="s">
        <v>117</v>
      </c>
      <c r="B10" s="14">
        <v>42825</v>
      </c>
      <c r="C10" s="146" t="s">
        <v>118</v>
      </c>
      <c r="D10" s="147">
        <v>18.15</v>
      </c>
      <c r="E10" s="2"/>
      <c r="F10" s="2"/>
      <c r="G10" s="2"/>
      <c r="H10" s="2"/>
      <c r="I10" s="2"/>
      <c r="J10" s="2"/>
      <c r="K10" s="14"/>
      <c r="L10" s="14"/>
      <c r="M10" s="14">
        <f t="shared" si="0"/>
        <v>42843</v>
      </c>
      <c r="N10" s="14">
        <v>42843</v>
      </c>
      <c r="O10" s="9"/>
      <c r="P10" s="9"/>
      <c r="Q10" s="9"/>
      <c r="R10" s="9"/>
      <c r="S10" s="9"/>
      <c r="T10" s="135"/>
      <c r="U10" s="135"/>
    </row>
    <row r="11" spans="1:21" s="134" customFormat="1" ht="11.25">
      <c r="A11" s="146" t="s">
        <v>119</v>
      </c>
      <c r="B11" s="14">
        <v>42811</v>
      </c>
      <c r="C11" s="146" t="s">
        <v>120</v>
      </c>
      <c r="D11" s="147">
        <v>149.99</v>
      </c>
      <c r="E11" s="2"/>
      <c r="F11" s="2"/>
      <c r="G11" s="2"/>
      <c r="H11" s="2"/>
      <c r="I11" s="2"/>
      <c r="J11" s="2"/>
      <c r="K11" s="14"/>
      <c r="L11" s="14"/>
      <c r="M11" s="14">
        <f t="shared" si="0"/>
        <v>42843</v>
      </c>
      <c r="N11" s="14">
        <v>42843</v>
      </c>
      <c r="O11" s="9"/>
      <c r="P11" s="9"/>
      <c r="Q11" s="9"/>
      <c r="R11" s="9"/>
      <c r="S11" s="9"/>
      <c r="T11" s="135"/>
      <c r="U11" s="135"/>
    </row>
    <row r="12" spans="1:21" s="134" customFormat="1" ht="11.25">
      <c r="A12" s="144" t="s">
        <v>121</v>
      </c>
      <c r="B12" s="14">
        <v>42825</v>
      </c>
      <c r="C12" s="144" t="s">
        <v>122</v>
      </c>
      <c r="D12" s="145">
        <v>252.67</v>
      </c>
      <c r="E12" s="2"/>
      <c r="F12" s="2"/>
      <c r="G12" s="2"/>
      <c r="H12" s="2"/>
      <c r="I12" s="2"/>
      <c r="J12" s="2"/>
      <c r="K12" s="14"/>
      <c r="L12" s="14"/>
      <c r="M12" s="14">
        <f>+N12</f>
        <v>42835</v>
      </c>
      <c r="N12" s="14">
        <v>42835</v>
      </c>
      <c r="O12" s="9"/>
      <c r="P12" s="9"/>
      <c r="Q12" s="9"/>
      <c r="R12" s="9"/>
      <c r="S12" s="9"/>
      <c r="T12" s="135"/>
      <c r="U12" s="135"/>
    </row>
    <row r="13" spans="1:21" s="134" customFormat="1" ht="11.25">
      <c r="A13" s="146" t="s">
        <v>123</v>
      </c>
      <c r="B13" s="14">
        <v>42809</v>
      </c>
      <c r="C13" s="146" t="s">
        <v>124</v>
      </c>
      <c r="D13" s="147">
        <v>43.75</v>
      </c>
      <c r="E13" s="2"/>
      <c r="F13" s="2"/>
      <c r="G13" s="2"/>
      <c r="H13" s="2"/>
      <c r="I13" s="2"/>
      <c r="J13" s="2"/>
      <c r="K13" s="14"/>
      <c r="L13" s="14"/>
      <c r="M13" s="14">
        <f t="shared" si="0"/>
        <v>42826</v>
      </c>
      <c r="N13" s="14">
        <v>42826</v>
      </c>
      <c r="O13" s="9"/>
      <c r="P13" s="9"/>
      <c r="Q13" s="9"/>
      <c r="R13" s="9"/>
      <c r="S13" s="9"/>
      <c r="T13" s="135"/>
      <c r="U13" s="135"/>
    </row>
    <row r="14" spans="1:21" s="134" customFormat="1" ht="11.25">
      <c r="A14" s="146" t="s">
        <v>125</v>
      </c>
      <c r="B14" s="14">
        <v>42825</v>
      </c>
      <c r="C14" s="146" t="s">
        <v>126</v>
      </c>
      <c r="D14" s="147">
        <v>445.53</v>
      </c>
      <c r="E14" s="2"/>
      <c r="F14" s="2"/>
      <c r="G14" s="2"/>
      <c r="H14" s="2"/>
      <c r="I14" s="2"/>
      <c r="J14" s="2"/>
      <c r="K14" s="14"/>
      <c r="L14" s="14"/>
      <c r="M14" s="14">
        <f t="shared" si="0"/>
        <v>42843</v>
      </c>
      <c r="N14" s="14">
        <v>42843</v>
      </c>
      <c r="O14" s="9"/>
      <c r="P14" s="9"/>
      <c r="Q14" s="9"/>
      <c r="R14" s="9"/>
      <c r="S14" s="9"/>
      <c r="T14" s="135"/>
      <c r="U14" s="135"/>
    </row>
    <row r="15" spans="1:21" s="134" customFormat="1" ht="11.25">
      <c r="A15" s="146" t="s">
        <v>127</v>
      </c>
      <c r="B15" s="14">
        <v>42816</v>
      </c>
      <c r="C15" s="146" t="s">
        <v>128</v>
      </c>
      <c r="D15" s="147">
        <v>151.25</v>
      </c>
      <c r="E15" s="2"/>
      <c r="F15" s="2"/>
      <c r="G15" s="2"/>
      <c r="H15" s="2"/>
      <c r="I15" s="2"/>
      <c r="J15" s="2"/>
      <c r="K15" s="14"/>
      <c r="L15" s="14"/>
      <c r="M15" s="14">
        <f t="shared" si="0"/>
        <v>42843</v>
      </c>
      <c r="N15" s="14">
        <v>42843</v>
      </c>
      <c r="O15" s="9"/>
      <c r="P15" s="9"/>
      <c r="Q15" s="9"/>
      <c r="R15" s="9"/>
      <c r="S15" s="9"/>
      <c r="T15" s="135"/>
      <c r="U15" s="135"/>
    </row>
    <row r="16" spans="1:21" s="136" customFormat="1" ht="11.25">
      <c r="A16" s="146" t="s">
        <v>129</v>
      </c>
      <c r="B16" s="14">
        <v>42825</v>
      </c>
      <c r="C16" s="146" t="s">
        <v>130</v>
      </c>
      <c r="D16" s="147">
        <v>2400</v>
      </c>
      <c r="E16" s="2"/>
      <c r="F16" s="2"/>
      <c r="G16" s="2"/>
      <c r="H16" s="2"/>
      <c r="I16" s="2"/>
      <c r="J16" s="2"/>
      <c r="K16" s="14"/>
      <c r="L16" s="14"/>
      <c r="M16" s="14">
        <f t="shared" si="0"/>
        <v>42843</v>
      </c>
      <c r="N16" s="14">
        <v>42843</v>
      </c>
      <c r="O16" s="9"/>
      <c r="P16" s="9"/>
      <c r="Q16" s="9"/>
      <c r="R16" s="9"/>
      <c r="S16" s="9"/>
      <c r="T16" s="137"/>
      <c r="U16" s="137"/>
    </row>
    <row r="17" spans="1:21" s="134" customFormat="1" ht="11.25">
      <c r="A17" s="146" t="s">
        <v>131</v>
      </c>
      <c r="B17" s="14">
        <v>42822</v>
      </c>
      <c r="C17" s="146" t="s">
        <v>132</v>
      </c>
      <c r="D17" s="147">
        <v>2.06</v>
      </c>
      <c r="E17" s="2"/>
      <c r="F17" s="2"/>
      <c r="G17" s="2"/>
      <c r="H17" s="2"/>
      <c r="I17" s="2"/>
      <c r="J17" s="2"/>
      <c r="K17" s="14"/>
      <c r="L17" s="14"/>
      <c r="M17" s="14">
        <f t="shared" si="0"/>
        <v>42843</v>
      </c>
      <c r="N17" s="14">
        <v>42843</v>
      </c>
      <c r="O17" s="9"/>
      <c r="P17" s="9"/>
      <c r="Q17" s="9"/>
      <c r="R17" s="9"/>
      <c r="S17" s="9"/>
      <c r="T17" s="135"/>
      <c r="U17" s="135"/>
    </row>
    <row r="18" spans="1:21" s="134" customFormat="1" ht="11.25">
      <c r="A18" s="146" t="s">
        <v>133</v>
      </c>
      <c r="B18" s="14">
        <v>42814</v>
      </c>
      <c r="C18" s="146" t="s">
        <v>134</v>
      </c>
      <c r="D18" s="147">
        <v>13.31</v>
      </c>
      <c r="E18" s="2"/>
      <c r="F18" s="2"/>
      <c r="G18" s="2"/>
      <c r="H18" s="2"/>
      <c r="I18" s="2"/>
      <c r="J18" s="2"/>
      <c r="K18" s="14"/>
      <c r="L18" s="14"/>
      <c r="M18" s="14">
        <f t="shared" si="0"/>
        <v>42843</v>
      </c>
      <c r="N18" s="14">
        <v>42843</v>
      </c>
      <c r="O18" s="9"/>
      <c r="P18" s="9"/>
      <c r="Q18" s="9"/>
      <c r="R18" s="9"/>
      <c r="S18" s="9"/>
      <c r="T18" s="135"/>
      <c r="U18" s="135"/>
    </row>
    <row r="19" spans="1:21" s="134" customFormat="1" ht="11.25">
      <c r="A19" s="146" t="s">
        <v>135</v>
      </c>
      <c r="B19" s="14">
        <v>42816</v>
      </c>
      <c r="C19" s="146" t="s">
        <v>136</v>
      </c>
      <c r="D19" s="147">
        <v>18.27</v>
      </c>
      <c r="E19" s="2"/>
      <c r="F19" s="2"/>
      <c r="G19" s="2"/>
      <c r="H19" s="2"/>
      <c r="I19" s="2"/>
      <c r="J19" s="2"/>
      <c r="K19" s="14"/>
      <c r="L19" s="14"/>
      <c r="M19" s="14">
        <f t="shared" si="0"/>
        <v>42843</v>
      </c>
      <c r="N19" s="14">
        <v>42843</v>
      </c>
      <c r="O19" s="9"/>
      <c r="P19" s="9"/>
      <c r="Q19" s="9"/>
      <c r="R19" s="9"/>
      <c r="S19" s="9"/>
      <c r="T19" s="135"/>
      <c r="U19" s="135"/>
    </row>
    <row r="20" spans="1:21" s="136" customFormat="1" ht="11.25">
      <c r="A20" s="146" t="s">
        <v>137</v>
      </c>
      <c r="B20" s="14">
        <v>42822</v>
      </c>
      <c r="C20" s="146" t="s">
        <v>138</v>
      </c>
      <c r="D20" s="147">
        <v>1.39</v>
      </c>
      <c r="E20" s="2"/>
      <c r="F20" s="2"/>
      <c r="G20" s="2"/>
      <c r="H20" s="2"/>
      <c r="I20" s="2"/>
      <c r="J20" s="2"/>
      <c r="K20" s="14"/>
      <c r="L20" s="14"/>
      <c r="M20" s="14">
        <f t="shared" si="0"/>
        <v>42843</v>
      </c>
      <c r="N20" s="14">
        <v>42843</v>
      </c>
      <c r="O20" s="9"/>
      <c r="P20" s="9"/>
      <c r="Q20" s="9"/>
      <c r="R20" s="9"/>
      <c r="S20" s="9"/>
      <c r="T20" s="137"/>
      <c r="U20" s="137"/>
    </row>
    <row r="21" spans="1:21" s="136" customFormat="1" ht="11.25">
      <c r="A21" s="146" t="s">
        <v>139</v>
      </c>
      <c r="B21" s="14">
        <v>42766</v>
      </c>
      <c r="C21" s="146" t="s">
        <v>140</v>
      </c>
      <c r="D21" s="147">
        <v>35.07</v>
      </c>
      <c r="E21" s="2"/>
      <c r="F21" s="2"/>
      <c r="G21" s="2"/>
      <c r="H21" s="2"/>
      <c r="I21" s="2"/>
      <c r="J21" s="2"/>
      <c r="K21" s="14"/>
      <c r="L21" s="14"/>
      <c r="M21" s="14">
        <f t="shared" si="0"/>
        <v>42843</v>
      </c>
      <c r="N21" s="14">
        <v>42843</v>
      </c>
      <c r="O21" s="9"/>
      <c r="P21" s="9"/>
      <c r="Q21" s="9"/>
      <c r="R21" s="9"/>
      <c r="S21" s="9"/>
      <c r="T21" s="137"/>
      <c r="U21" s="137"/>
    </row>
    <row r="22" spans="1:19" ht="11.25">
      <c r="A22" s="146" t="s">
        <v>141</v>
      </c>
      <c r="B22" s="14">
        <v>42825</v>
      </c>
      <c r="C22" s="146" t="s">
        <v>142</v>
      </c>
      <c r="D22" s="147">
        <v>11.4</v>
      </c>
      <c r="M22" s="14">
        <f t="shared" si="0"/>
        <v>42843</v>
      </c>
      <c r="N22" s="14">
        <v>42843</v>
      </c>
      <c r="Q22" s="9"/>
      <c r="R22" s="9"/>
      <c r="S22" s="9"/>
    </row>
    <row r="23" spans="1:19" ht="11.25">
      <c r="A23" s="146" t="s">
        <v>143</v>
      </c>
      <c r="B23" s="14">
        <v>42825</v>
      </c>
      <c r="C23" s="146" t="s">
        <v>144</v>
      </c>
      <c r="D23" s="147">
        <v>243.2</v>
      </c>
      <c r="M23" s="14">
        <f t="shared" si="0"/>
        <v>42843</v>
      </c>
      <c r="N23" s="14">
        <v>42843</v>
      </c>
      <c r="Q23" s="9"/>
      <c r="R23" s="9"/>
      <c r="S23" s="9"/>
    </row>
    <row r="24" spans="1:19" ht="11.25">
      <c r="A24" s="146" t="s">
        <v>145</v>
      </c>
      <c r="B24" s="14">
        <v>42817</v>
      </c>
      <c r="C24" s="146" t="s">
        <v>146</v>
      </c>
      <c r="D24" s="147">
        <v>192.61</v>
      </c>
      <c r="M24" s="14">
        <f t="shared" si="0"/>
        <v>42843</v>
      </c>
      <c r="N24" s="14">
        <v>42843</v>
      </c>
      <c r="Q24" s="9"/>
      <c r="R24" s="9"/>
      <c r="S24" s="9"/>
    </row>
    <row r="25" spans="1:19" ht="11.25">
      <c r="A25" s="146" t="s">
        <v>147</v>
      </c>
      <c r="B25" s="14">
        <v>42784</v>
      </c>
      <c r="C25" s="146" t="s">
        <v>148</v>
      </c>
      <c r="D25" s="147">
        <v>127.17</v>
      </c>
      <c r="M25" s="14">
        <f t="shared" si="0"/>
        <v>42843</v>
      </c>
      <c r="N25" s="14">
        <v>42843</v>
      </c>
      <c r="Q25" s="9"/>
      <c r="R25" s="9"/>
      <c r="S25" s="9"/>
    </row>
    <row r="26" spans="1:19" ht="11.25">
      <c r="A26" s="144" t="s">
        <v>149</v>
      </c>
      <c r="B26" s="14">
        <v>42825</v>
      </c>
      <c r="C26" s="144" t="s">
        <v>150</v>
      </c>
      <c r="D26" s="145">
        <v>221.74</v>
      </c>
      <c r="M26" s="14">
        <f t="shared" si="0"/>
        <v>42831</v>
      </c>
      <c r="N26" s="14">
        <v>42831</v>
      </c>
      <c r="Q26" s="9"/>
      <c r="R26" s="9"/>
      <c r="S26" s="9"/>
    </row>
    <row r="27" spans="1:19" ht="11.25">
      <c r="A27" s="146" t="s">
        <v>151</v>
      </c>
      <c r="B27" s="14">
        <v>42821</v>
      </c>
      <c r="C27" s="146" t="s">
        <v>152</v>
      </c>
      <c r="D27" s="147">
        <v>1585.11</v>
      </c>
      <c r="M27" s="14">
        <f t="shared" si="0"/>
        <v>42843</v>
      </c>
      <c r="N27" s="14">
        <v>42843</v>
      </c>
      <c r="Q27" s="9"/>
      <c r="R27" s="9"/>
      <c r="S27" s="9"/>
    </row>
    <row r="28" spans="1:19" ht="11.25">
      <c r="A28" s="146" t="s">
        <v>153</v>
      </c>
      <c r="B28" s="14">
        <v>42814</v>
      </c>
      <c r="C28" s="146" t="s">
        <v>154</v>
      </c>
      <c r="D28" s="147">
        <v>460.89</v>
      </c>
      <c r="M28" s="14">
        <f t="shared" si="0"/>
        <v>42846</v>
      </c>
      <c r="N28" s="14">
        <v>42846</v>
      </c>
      <c r="Q28" s="9"/>
      <c r="R28" s="9"/>
      <c r="S28" s="9"/>
    </row>
    <row r="29" spans="1:19" ht="11.25">
      <c r="A29" s="146" t="s">
        <v>155</v>
      </c>
      <c r="B29" s="14">
        <v>42810</v>
      </c>
      <c r="C29" s="146" t="s">
        <v>156</v>
      </c>
      <c r="D29" s="147">
        <v>29.14</v>
      </c>
      <c r="M29" s="14">
        <f t="shared" si="0"/>
        <v>42826</v>
      </c>
      <c r="N29" s="14">
        <v>42826</v>
      </c>
      <c r="Q29" s="9"/>
      <c r="R29" s="9"/>
      <c r="S29" s="9"/>
    </row>
    <row r="30" spans="1:19" ht="11.25">
      <c r="A30" s="146" t="s">
        <v>157</v>
      </c>
      <c r="B30" s="14">
        <v>42815</v>
      </c>
      <c r="C30" s="146" t="s">
        <v>158</v>
      </c>
      <c r="D30" s="147">
        <v>21</v>
      </c>
      <c r="M30" s="14">
        <f t="shared" si="0"/>
        <v>42826</v>
      </c>
      <c r="N30" s="14">
        <v>42826</v>
      </c>
      <c r="Q30" s="9"/>
      <c r="R30" s="9"/>
      <c r="S30" s="9"/>
    </row>
    <row r="31" spans="1:19" ht="11.25">
      <c r="A31" s="146" t="s">
        <v>159</v>
      </c>
      <c r="B31" s="14">
        <v>42817</v>
      </c>
      <c r="C31" s="146" t="s">
        <v>160</v>
      </c>
      <c r="D31" s="147">
        <v>140.28</v>
      </c>
      <c r="M31" s="14">
        <f t="shared" si="0"/>
        <v>42826</v>
      </c>
      <c r="N31" s="14">
        <v>42826</v>
      </c>
      <c r="Q31" s="9"/>
      <c r="R31" s="9"/>
      <c r="S31" s="9"/>
    </row>
    <row r="32" spans="1:19" ht="11.25">
      <c r="A32" s="146" t="s">
        <v>161</v>
      </c>
      <c r="B32" s="14">
        <v>42825</v>
      </c>
      <c r="C32" s="146" t="s">
        <v>162</v>
      </c>
      <c r="D32" s="147">
        <v>614.92</v>
      </c>
      <c r="M32" s="14">
        <f t="shared" si="0"/>
        <v>42853</v>
      </c>
      <c r="N32" s="14">
        <v>42853</v>
      </c>
      <c r="Q32" s="9"/>
      <c r="R32" s="9"/>
      <c r="S32" s="9"/>
    </row>
    <row r="33" spans="1:19" ht="11.25">
      <c r="A33" s="146" t="s">
        <v>163</v>
      </c>
      <c r="B33" s="14">
        <v>42824</v>
      </c>
      <c r="C33" s="146" t="s">
        <v>164</v>
      </c>
      <c r="D33" s="147">
        <v>532.84</v>
      </c>
      <c r="M33" s="14">
        <f t="shared" si="0"/>
        <v>42853</v>
      </c>
      <c r="N33" s="14">
        <v>42853</v>
      </c>
      <c r="Q33" s="9"/>
      <c r="R33" s="9"/>
      <c r="S33" s="9"/>
    </row>
    <row r="34" spans="1:19" ht="11.25">
      <c r="A34" s="146" t="s">
        <v>165</v>
      </c>
      <c r="B34" s="14">
        <v>42822</v>
      </c>
      <c r="C34" s="146" t="s">
        <v>166</v>
      </c>
      <c r="D34" s="147">
        <v>261.36</v>
      </c>
      <c r="M34" s="14">
        <f t="shared" si="0"/>
        <v>42853</v>
      </c>
      <c r="N34" s="14">
        <v>42853</v>
      </c>
      <c r="Q34" s="9"/>
      <c r="R34" s="9"/>
      <c r="S34" s="9"/>
    </row>
    <row r="35" spans="1:19" ht="11.25">
      <c r="A35" s="146" t="s">
        <v>167</v>
      </c>
      <c r="B35" s="14">
        <v>42804</v>
      </c>
      <c r="C35" s="146" t="s">
        <v>168</v>
      </c>
      <c r="D35" s="147">
        <v>73.81</v>
      </c>
      <c r="M35" s="14">
        <f t="shared" si="0"/>
        <v>42852</v>
      </c>
      <c r="N35" s="14">
        <v>42852</v>
      </c>
      <c r="Q35" s="9"/>
      <c r="R35" s="9"/>
      <c r="S35" s="9"/>
    </row>
    <row r="36" spans="1:19" ht="11.25">
      <c r="A36" s="146" t="s">
        <v>169</v>
      </c>
      <c r="B36" s="14">
        <v>42825</v>
      </c>
      <c r="C36" s="146" t="s">
        <v>170</v>
      </c>
      <c r="D36" s="147">
        <v>242.63</v>
      </c>
      <c r="M36" s="14">
        <f t="shared" si="0"/>
        <v>42853</v>
      </c>
      <c r="N36" s="14">
        <v>42853</v>
      </c>
      <c r="Q36" s="9"/>
      <c r="R36" s="9"/>
      <c r="S36" s="9"/>
    </row>
    <row r="37" spans="1:19" ht="11.25">
      <c r="A37" s="146" t="s">
        <v>171</v>
      </c>
      <c r="B37" s="14">
        <v>42825</v>
      </c>
      <c r="C37" s="146" t="s">
        <v>172</v>
      </c>
      <c r="D37" s="147">
        <v>1762.41</v>
      </c>
      <c r="M37" s="14">
        <f t="shared" si="0"/>
        <v>42849</v>
      </c>
      <c r="N37" s="14">
        <v>42849</v>
      </c>
      <c r="Q37" s="9"/>
      <c r="R37" s="9"/>
      <c r="S37" s="9"/>
    </row>
    <row r="38" spans="1:19" ht="11.25">
      <c r="A38" s="146" t="s">
        <v>173</v>
      </c>
      <c r="B38" s="14">
        <v>42825</v>
      </c>
      <c r="C38" s="146" t="s">
        <v>174</v>
      </c>
      <c r="D38" s="147">
        <v>29849.11</v>
      </c>
      <c r="M38" s="14">
        <f t="shared" si="0"/>
        <v>42853</v>
      </c>
      <c r="N38" s="14">
        <v>42853</v>
      </c>
      <c r="Q38" s="9"/>
      <c r="R38" s="9"/>
      <c r="S38" s="9"/>
    </row>
    <row r="39" spans="1:19" ht="11.25">
      <c r="A39" s="146" t="s">
        <v>175</v>
      </c>
      <c r="B39" s="14">
        <v>42825</v>
      </c>
      <c r="C39" s="146" t="s">
        <v>176</v>
      </c>
      <c r="D39" s="147">
        <v>447.71</v>
      </c>
      <c r="M39" s="14">
        <f t="shared" si="0"/>
        <v>42845</v>
      </c>
      <c r="N39" s="14">
        <v>42845</v>
      </c>
      <c r="Q39" s="9"/>
      <c r="R39" s="9"/>
      <c r="S39" s="9"/>
    </row>
    <row r="40" spans="1:19" ht="11.25">
      <c r="A40" s="148"/>
      <c r="B40" s="149"/>
      <c r="C40" s="148"/>
      <c r="D40" s="150"/>
      <c r="G40" s="148"/>
      <c r="M40" s="141"/>
      <c r="N40" s="141"/>
      <c r="O40" s="96"/>
      <c r="P40" s="96"/>
      <c r="Q40" s="96"/>
      <c r="R40" s="135"/>
      <c r="S40" s="135"/>
    </row>
    <row r="41" spans="1:19" ht="11.25">
      <c r="A41" s="148"/>
      <c r="B41" s="149"/>
      <c r="C41" s="148"/>
      <c r="D41" s="150"/>
      <c r="G41" s="148"/>
      <c r="M41" s="141"/>
      <c r="N41" s="141"/>
      <c r="O41" s="96"/>
      <c r="P41" s="96"/>
      <c r="Q41" s="96"/>
      <c r="R41" s="135"/>
      <c r="S41" s="135"/>
    </row>
    <row r="42" spans="1:19" ht="11.25">
      <c r="A42" s="148"/>
      <c r="B42" s="149"/>
      <c r="C42" s="148"/>
      <c r="D42" s="150"/>
      <c r="G42" s="148"/>
      <c r="M42" s="141"/>
      <c r="N42" s="141"/>
      <c r="O42" s="96"/>
      <c r="P42" s="96"/>
      <c r="Q42" s="96"/>
      <c r="R42" s="135"/>
      <c r="S42" s="135"/>
    </row>
    <row r="43" spans="1:19" ht="11.25">
      <c r="A43" s="148"/>
      <c r="B43" s="149"/>
      <c r="C43" s="148"/>
      <c r="D43" s="150"/>
      <c r="G43" s="148"/>
      <c r="M43" s="141"/>
      <c r="N43" s="141"/>
      <c r="O43" s="96"/>
      <c r="P43" s="96"/>
      <c r="Q43" s="96"/>
      <c r="R43" s="135"/>
      <c r="S43" s="135"/>
    </row>
    <row r="44" spans="1:19" ht="12.75">
      <c r="A44" s="138"/>
      <c r="B44" s="140"/>
      <c r="C44" s="138"/>
      <c r="D44" s="139"/>
      <c r="G44" s="138"/>
      <c r="M44" s="141"/>
      <c r="N44" s="141"/>
      <c r="O44" s="96"/>
      <c r="P44" s="96"/>
      <c r="Q44" s="96"/>
      <c r="R44" s="135"/>
      <c r="S44" s="135"/>
    </row>
    <row r="45" spans="1:19" ht="12.75">
      <c r="A45" s="138"/>
      <c r="B45" s="140"/>
      <c r="C45" s="138"/>
      <c r="D45" s="139"/>
      <c r="G45" s="138"/>
      <c r="M45" s="141"/>
      <c r="N45" s="141"/>
      <c r="O45" s="96"/>
      <c r="P45" s="96"/>
      <c r="Q45" s="96"/>
      <c r="R45" s="135"/>
      <c r="S45" s="135"/>
    </row>
    <row r="46" spans="1:19" ht="12.75">
      <c r="A46" s="138"/>
      <c r="B46" s="140"/>
      <c r="C46" s="138"/>
      <c r="D46" s="139"/>
      <c r="G46" s="138"/>
      <c r="M46" s="141"/>
      <c r="N46" s="141"/>
      <c r="O46" s="96"/>
      <c r="P46" s="96"/>
      <c r="Q46" s="96"/>
      <c r="R46" s="135"/>
      <c r="S46" s="135"/>
    </row>
    <row r="47" spans="1:19" ht="12.75">
      <c r="A47" s="138"/>
      <c r="B47" s="140"/>
      <c r="C47" s="138"/>
      <c r="D47" s="139"/>
      <c r="G47" s="138"/>
      <c r="M47" s="141"/>
      <c r="N47" s="141"/>
      <c r="O47" s="96"/>
      <c r="P47" s="96"/>
      <c r="Q47" s="96"/>
      <c r="R47" s="135"/>
      <c r="S47" s="135"/>
    </row>
    <row r="48" spans="1:19" ht="12.75">
      <c r="A48" s="142"/>
      <c r="B48" s="140"/>
      <c r="C48" s="142"/>
      <c r="D48" s="139"/>
      <c r="G48" s="138"/>
      <c r="O48" s="96"/>
      <c r="P48" s="96"/>
      <c r="Q48" s="96"/>
      <c r="R48" s="135"/>
      <c r="S48" s="135"/>
    </row>
    <row r="49" spans="1:19" ht="12.75">
      <c r="A49" s="142"/>
      <c r="B49" s="140"/>
      <c r="C49" s="142"/>
      <c r="D49" s="143"/>
      <c r="G49" s="138"/>
      <c r="O49" s="96"/>
      <c r="P49" s="96"/>
      <c r="Q49" s="96"/>
      <c r="R49" s="135"/>
      <c r="S49" s="135"/>
    </row>
    <row r="50" spans="1:19" ht="12.75">
      <c r="A50" s="142"/>
      <c r="B50" s="140"/>
      <c r="C50" s="142"/>
      <c r="D50" s="143"/>
      <c r="G50" s="138"/>
      <c r="O50" s="96"/>
      <c r="P50" s="96"/>
      <c r="Q50" s="96"/>
      <c r="R50" s="135"/>
      <c r="S50" s="135"/>
    </row>
    <row r="51" spans="1:19" ht="12.75">
      <c r="A51" s="142"/>
      <c r="B51" s="140"/>
      <c r="C51" s="142"/>
      <c r="D51" s="142"/>
      <c r="G51" s="138"/>
      <c r="O51" s="96"/>
      <c r="P51" s="96"/>
      <c r="Q51" s="96"/>
      <c r="R51" s="135"/>
      <c r="S51" s="135"/>
    </row>
    <row r="52" spans="1:7" ht="12.75">
      <c r="A52" s="142"/>
      <c r="B52" s="140"/>
      <c r="D52" s="138"/>
      <c r="G52" s="138"/>
    </row>
    <row r="53" spans="2:7" ht="12.75">
      <c r="B53" s="2"/>
      <c r="D53" s="138"/>
      <c r="G53" s="138"/>
    </row>
    <row r="54" spans="2:7" ht="12.75">
      <c r="B54" s="2"/>
      <c r="D54" s="138"/>
      <c r="G54" s="138"/>
    </row>
    <row r="55" spans="2:7" ht="12.75">
      <c r="B55" s="2"/>
      <c r="D55" s="138"/>
      <c r="G55" s="138"/>
    </row>
  </sheetData>
  <sheetProtection/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USR05</cp:lastModifiedBy>
  <cp:lastPrinted>2015-07-13T10:18:06Z</cp:lastPrinted>
  <dcterms:created xsi:type="dcterms:W3CDTF">2013-12-21T08:23:27Z</dcterms:created>
  <dcterms:modified xsi:type="dcterms:W3CDTF">2017-07-12T07:14:00Z</dcterms:modified>
  <cp:category/>
  <cp:version/>
  <cp:contentType/>
  <cp:contentStatus/>
</cp:coreProperties>
</file>